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65" windowWidth="22755" windowHeight="12570"/>
  </bookViews>
  <sheets>
    <sheet name="FY 2012 Actual $" sheetId="3" r:id="rId1"/>
    <sheet name="Updated_Allocations_FY2012_CR" sheetId="1" state="hidden" r:id="rId2"/>
    <sheet name="CF Version" sheetId="2" state="hidden" r:id="rId3"/>
  </sheets>
  <definedNames>
    <definedName name="_xlnm.Print_Area" localSheetId="2">'CF Version'!$A$2:$I$57</definedName>
    <definedName name="_xlnm.Print_Area" localSheetId="0">'FY 2012 Actual $'!$A$1:$G$65</definedName>
    <definedName name="_xlnm.Print_Area" localSheetId="1">Updated_Allocations_FY2012_CR!$A$1:$Q$72</definedName>
  </definedNames>
  <calcPr calcId="125725"/>
</workbook>
</file>

<file path=xl/calcChain.xml><?xml version="1.0" encoding="utf-8"?>
<calcChain xmlns="http://schemas.openxmlformats.org/spreadsheetml/2006/main">
  <c r="C45" i="3"/>
  <c r="C36"/>
  <c r="G8"/>
  <c r="C59" l="1"/>
  <c r="C56"/>
  <c r="C53"/>
  <c r="C50"/>
  <c r="C48"/>
  <c r="C47"/>
  <c r="C46"/>
  <c r="C42"/>
  <c r="C41"/>
  <c r="C39"/>
  <c r="C37"/>
  <c r="C38" s="1"/>
  <c r="C35"/>
  <c r="C33"/>
  <c r="C32"/>
  <c r="C31"/>
  <c r="C30"/>
  <c r="C29"/>
  <c r="C28"/>
  <c r="C25"/>
  <c r="C23"/>
  <c r="C22"/>
  <c r="C21"/>
  <c r="C20"/>
  <c r="C19"/>
  <c r="C18"/>
  <c r="C17"/>
  <c r="C14"/>
  <c r="C12"/>
  <c r="C11"/>
  <c r="C10"/>
  <c r="C9"/>
  <c r="G34"/>
  <c r="G26"/>
  <c r="G7"/>
  <c r="E6"/>
  <c r="C7"/>
  <c r="C6"/>
  <c r="E59"/>
  <c r="F59" s="1"/>
  <c r="G59" s="1"/>
  <c r="E56"/>
  <c r="F56" s="1"/>
  <c r="G56" s="1"/>
  <c r="E53"/>
  <c r="F53" s="1"/>
  <c r="G53" s="1"/>
  <c r="E50"/>
  <c r="F50" s="1"/>
  <c r="G50" s="1"/>
  <c r="E48"/>
  <c r="F48" s="1"/>
  <c r="G48" s="1"/>
  <c r="E47"/>
  <c r="F47" s="1"/>
  <c r="G47" s="1"/>
  <c r="E46"/>
  <c r="F46" s="1"/>
  <c r="G46" s="1"/>
  <c r="E42"/>
  <c r="F42" s="1"/>
  <c r="G42" s="1"/>
  <c r="E39"/>
  <c r="F39" s="1"/>
  <c r="G39" s="1"/>
  <c r="E37"/>
  <c r="F37" s="1"/>
  <c r="G37" s="1"/>
  <c r="E35"/>
  <c r="F35" s="1"/>
  <c r="G35" s="1"/>
  <c r="E34"/>
  <c r="F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C27"/>
  <c r="E26"/>
  <c r="F26" s="1"/>
  <c r="E25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C16"/>
  <c r="E14"/>
  <c r="E16" s="1"/>
  <c r="E12"/>
  <c r="F12" s="1"/>
  <c r="G12" s="1"/>
  <c r="E11"/>
  <c r="F11" s="1"/>
  <c r="G11" s="1"/>
  <c r="E10"/>
  <c r="F10" s="1"/>
  <c r="G10" s="1"/>
  <c r="E9"/>
  <c r="F9" s="1"/>
  <c r="G9" s="1"/>
  <c r="E7"/>
  <c r="F7" s="1"/>
  <c r="C8"/>
  <c r="E45" l="1"/>
  <c r="E49" s="1"/>
  <c r="E27"/>
  <c r="E36"/>
  <c r="E38" s="1"/>
  <c r="F25"/>
  <c r="F14"/>
  <c r="E8"/>
  <c r="F6"/>
  <c r="G6" s="1"/>
  <c r="E41"/>
  <c r="E43" s="1"/>
  <c r="C43"/>
  <c r="C49"/>
  <c r="F27" l="1"/>
  <c r="G27" s="1"/>
  <c r="G25"/>
  <c r="F16"/>
  <c r="G16" s="1"/>
  <c r="G14"/>
  <c r="F36"/>
  <c r="G36" s="1"/>
  <c r="E51"/>
  <c r="E54" s="1"/>
  <c r="E57" s="1"/>
  <c r="E61" s="1"/>
  <c r="C51"/>
  <c r="C54" s="1"/>
  <c r="C57" s="1"/>
  <c r="C61" s="1"/>
  <c r="F8"/>
  <c r="F41"/>
  <c r="G41" s="1"/>
  <c r="G43" s="1"/>
  <c r="F45"/>
  <c r="G45" s="1"/>
  <c r="F38" l="1"/>
  <c r="G38" s="1"/>
  <c r="F49"/>
  <c r="G49" s="1"/>
  <c r="F43"/>
  <c r="G51" l="1"/>
  <c r="G54" s="1"/>
  <c r="G57" s="1"/>
  <c r="G61" s="1"/>
  <c r="F51"/>
  <c r="F54" s="1"/>
  <c r="F57" s="1"/>
  <c r="F61" s="1"/>
  <c r="Q37" i="1" l="1"/>
  <c r="P51"/>
  <c r="M51"/>
  <c r="P49"/>
  <c r="P43"/>
  <c r="P38"/>
  <c r="N34"/>
  <c r="M38"/>
  <c r="M8"/>
  <c r="K51"/>
  <c r="K54" s="1"/>
  <c r="K57" s="1"/>
  <c r="K61" s="1"/>
  <c r="J51"/>
  <c r="Q59"/>
  <c r="Q56"/>
  <c r="Q53"/>
  <c r="M37"/>
  <c r="N37" s="1"/>
  <c r="P37" s="1"/>
  <c r="K36"/>
  <c r="K38" s="1"/>
  <c r="M50"/>
  <c r="M48"/>
  <c r="M47"/>
  <c r="M46"/>
  <c r="M42"/>
  <c r="M39"/>
  <c r="M35"/>
  <c r="M34"/>
  <c r="M33"/>
  <c r="M32"/>
  <c r="M31"/>
  <c r="M30"/>
  <c r="M29"/>
  <c r="M28"/>
  <c r="M26"/>
  <c r="M25"/>
  <c r="M23"/>
  <c r="M22"/>
  <c r="M21"/>
  <c r="M20"/>
  <c r="M19"/>
  <c r="M18"/>
  <c r="M17"/>
  <c r="M14"/>
  <c r="M12"/>
  <c r="M11"/>
  <c r="M10"/>
  <c r="M9"/>
  <c r="M7"/>
  <c r="K16"/>
  <c r="P15"/>
  <c r="Q15" s="1"/>
  <c r="K27"/>
  <c r="N48"/>
  <c r="P48" s="1"/>
  <c r="N42"/>
  <c r="P42" s="1"/>
  <c r="N26"/>
  <c r="N7"/>
  <c r="P7" s="1"/>
  <c r="M59"/>
  <c r="M56"/>
  <c r="N56" s="1"/>
  <c r="P56" s="1"/>
  <c r="M53"/>
  <c r="N50"/>
  <c r="N46"/>
  <c r="P46" s="1"/>
  <c r="N35"/>
  <c r="N33"/>
  <c r="P33" s="1"/>
  <c r="N31"/>
  <c r="P31" s="1"/>
  <c r="N29"/>
  <c r="P29" s="1"/>
  <c r="M27"/>
  <c r="N23"/>
  <c r="P23" s="1"/>
  <c r="N22"/>
  <c r="N21"/>
  <c r="P21" s="1"/>
  <c r="N20"/>
  <c r="N19"/>
  <c r="P19" s="1"/>
  <c r="N18"/>
  <c r="N17"/>
  <c r="P17" s="1"/>
  <c r="M16"/>
  <c r="N12"/>
  <c r="N11"/>
  <c r="N10"/>
  <c r="N9"/>
  <c r="M36" l="1"/>
  <c r="N36" s="1"/>
  <c r="P26"/>
  <c r="Q26" s="1"/>
  <c r="P9"/>
  <c r="Q9" s="1"/>
  <c r="P11"/>
  <c r="Q11" s="1"/>
  <c r="P35"/>
  <c r="Q35" s="1"/>
  <c r="Q42"/>
  <c r="Q46"/>
  <c r="Q48"/>
  <c r="Q17"/>
  <c r="P10"/>
  <c r="Q10" s="1"/>
  <c r="P12"/>
  <c r="Q12" s="1"/>
  <c r="P18"/>
  <c r="Q18" s="1"/>
  <c r="P20"/>
  <c r="Q20" s="1"/>
  <c r="P22"/>
  <c r="Q22" s="1"/>
  <c r="P50"/>
  <c r="Q50" s="1"/>
  <c r="Q7"/>
  <c r="Q19"/>
  <c r="Q21"/>
  <c r="Q23"/>
  <c r="Q29"/>
  <c r="Q31"/>
  <c r="Q33"/>
  <c r="N14"/>
  <c r="P14" s="1"/>
  <c r="P16" s="1"/>
  <c r="N25"/>
  <c r="N28"/>
  <c r="N30"/>
  <c r="N32"/>
  <c r="N39"/>
  <c r="N47"/>
  <c r="N53"/>
  <c r="P53" s="1"/>
  <c r="N59"/>
  <c r="P59" s="1"/>
  <c r="N27"/>
  <c r="K45"/>
  <c r="M45" s="1"/>
  <c r="M49" s="1"/>
  <c r="K41"/>
  <c r="K6"/>
  <c r="F48"/>
  <c r="F42"/>
  <c r="F26"/>
  <c r="E45"/>
  <c r="E49" s="1"/>
  <c r="E47"/>
  <c r="E43"/>
  <c r="E16"/>
  <c r="E50"/>
  <c r="G50" s="1"/>
  <c r="I50" s="1"/>
  <c r="J50" s="1"/>
  <c r="C27"/>
  <c r="C43"/>
  <c r="C49"/>
  <c r="C16"/>
  <c r="C51" s="1"/>
  <c r="D42" s="1"/>
  <c r="C8"/>
  <c r="H19" i="2"/>
  <c r="F19"/>
  <c r="B35"/>
  <c r="C11"/>
  <c r="B31"/>
  <c r="F43"/>
  <c r="I43"/>
  <c r="E43"/>
  <c r="F40"/>
  <c r="I40"/>
  <c r="E40"/>
  <c r="F37"/>
  <c r="H37"/>
  <c r="I37"/>
  <c r="E37"/>
  <c r="E34"/>
  <c r="D34"/>
  <c r="F34"/>
  <c r="H34"/>
  <c r="I34"/>
  <c r="G59" i="1"/>
  <c r="I59" s="1"/>
  <c r="J59" s="1"/>
  <c r="G56"/>
  <c r="I56" s="1"/>
  <c r="J56" s="1"/>
  <c r="G53"/>
  <c r="I53" s="1"/>
  <c r="J53" s="1"/>
  <c r="F59"/>
  <c r="F56"/>
  <c r="F53"/>
  <c r="B38" i="2"/>
  <c r="B41"/>
  <c r="B45"/>
  <c r="D11"/>
  <c r="E11"/>
  <c r="C16"/>
  <c r="D16"/>
  <c r="E16"/>
  <c r="C26"/>
  <c r="D26"/>
  <c r="E26"/>
  <c r="C5"/>
  <c r="C9"/>
  <c r="D9"/>
  <c r="E9"/>
  <c r="C22"/>
  <c r="D22"/>
  <c r="E22"/>
  <c r="C7"/>
  <c r="D7"/>
  <c r="E7"/>
  <c r="C18"/>
  <c r="D18"/>
  <c r="E18"/>
  <c r="C30"/>
  <c r="D30"/>
  <c r="C14"/>
  <c r="D14"/>
  <c r="E14"/>
  <c r="C24"/>
  <c r="D24"/>
  <c r="E24"/>
  <c r="C12"/>
  <c r="D12"/>
  <c r="E12"/>
  <c r="C20"/>
  <c r="D20"/>
  <c r="E20"/>
  <c r="C28"/>
  <c r="D28"/>
  <c r="E28"/>
  <c r="F16"/>
  <c r="H16"/>
  <c r="I16"/>
  <c r="C6"/>
  <c r="C8"/>
  <c r="C10"/>
  <c r="C13"/>
  <c r="C15"/>
  <c r="C17"/>
  <c r="C19"/>
  <c r="C21"/>
  <c r="C23"/>
  <c r="C25"/>
  <c r="C27"/>
  <c r="C29"/>
  <c r="F14"/>
  <c r="H14"/>
  <c r="I14"/>
  <c r="F22"/>
  <c r="H22"/>
  <c r="I22"/>
  <c r="D5"/>
  <c r="E5"/>
  <c r="C35"/>
  <c r="F9"/>
  <c r="H9"/>
  <c r="I9"/>
  <c r="E30"/>
  <c r="D31"/>
  <c r="D33"/>
  <c r="F7"/>
  <c r="H7"/>
  <c r="I7"/>
  <c r="F11"/>
  <c r="H11"/>
  <c r="I11"/>
  <c r="F24"/>
  <c r="H24"/>
  <c r="I24"/>
  <c r="F26"/>
  <c r="H26"/>
  <c r="I26"/>
  <c r="F30"/>
  <c r="H30"/>
  <c r="I30"/>
  <c r="F12"/>
  <c r="H12"/>
  <c r="I12"/>
  <c r="F18"/>
  <c r="H18"/>
  <c r="I18"/>
  <c r="F28"/>
  <c r="H28"/>
  <c r="I28"/>
  <c r="F20"/>
  <c r="H20"/>
  <c r="I20"/>
  <c r="D19"/>
  <c r="E19"/>
  <c r="D10"/>
  <c r="E10"/>
  <c r="D29"/>
  <c r="E29"/>
  <c r="D21"/>
  <c r="E21"/>
  <c r="D13"/>
  <c r="E13"/>
  <c r="D23"/>
  <c r="E23"/>
  <c r="D15"/>
  <c r="E15"/>
  <c r="D6"/>
  <c r="F6"/>
  <c r="H6"/>
  <c r="I6"/>
  <c r="D25"/>
  <c r="E25"/>
  <c r="D17"/>
  <c r="E17"/>
  <c r="D8"/>
  <c r="E8"/>
  <c r="D27"/>
  <c r="E27"/>
  <c r="F5"/>
  <c r="H5"/>
  <c r="I5"/>
  <c r="E33"/>
  <c r="F33"/>
  <c r="D35"/>
  <c r="F31"/>
  <c r="H31"/>
  <c r="E31"/>
  <c r="F32"/>
  <c r="I32"/>
  <c r="F10"/>
  <c r="H10"/>
  <c r="I10"/>
  <c r="F23"/>
  <c r="H23"/>
  <c r="I23"/>
  <c r="F27"/>
  <c r="H27"/>
  <c r="I27"/>
  <c r="F17"/>
  <c r="H17"/>
  <c r="I17"/>
  <c r="E6"/>
  <c r="F8"/>
  <c r="H8"/>
  <c r="I8"/>
  <c r="F25"/>
  <c r="H25"/>
  <c r="I25"/>
  <c r="F15"/>
  <c r="H15"/>
  <c r="I15"/>
  <c r="F13"/>
  <c r="H13"/>
  <c r="I13"/>
  <c r="F29"/>
  <c r="H29"/>
  <c r="I29"/>
  <c r="I19"/>
  <c r="I35"/>
  <c r="I38"/>
  <c r="I41"/>
  <c r="I45"/>
  <c r="F21"/>
  <c r="H21"/>
  <c r="I21"/>
  <c r="G31"/>
  <c r="I31"/>
  <c r="H33"/>
  <c r="H35"/>
  <c r="H38"/>
  <c r="H41"/>
  <c r="H45"/>
  <c r="F35"/>
  <c r="F38"/>
  <c r="F41"/>
  <c r="F45"/>
  <c r="E35"/>
  <c r="D38"/>
  <c r="D41"/>
  <c r="D45"/>
  <c r="E45"/>
  <c r="G33"/>
  <c r="I33"/>
  <c r="F46" i="1"/>
  <c r="F47"/>
  <c r="F15"/>
  <c r="F41"/>
  <c r="F14"/>
  <c r="J42"/>
  <c r="F7"/>
  <c r="P36" l="1"/>
  <c r="Q36" s="1"/>
  <c r="N38"/>
  <c r="N51" s="1"/>
  <c r="N54" s="1"/>
  <c r="N57" s="1"/>
  <c r="N61" s="1"/>
  <c r="F45"/>
  <c r="Q38"/>
  <c r="Q51" s="1"/>
  <c r="K8"/>
  <c r="M6"/>
  <c r="N45"/>
  <c r="N49" s="1"/>
  <c r="K43"/>
  <c r="M41"/>
  <c r="M43" s="1"/>
  <c r="K49"/>
  <c r="N41"/>
  <c r="P41" s="1"/>
  <c r="Q41" s="1"/>
  <c r="Q43" s="1"/>
  <c r="N6"/>
  <c r="P6" s="1"/>
  <c r="P8" s="1"/>
  <c r="N43"/>
  <c r="P47"/>
  <c r="Q47" s="1"/>
  <c r="P39"/>
  <c r="Q39" s="1"/>
  <c r="P32"/>
  <c r="Q32" s="1"/>
  <c r="P28"/>
  <c r="Q28" s="1"/>
  <c r="P45"/>
  <c r="Q45" s="1"/>
  <c r="P34"/>
  <c r="Q34" s="1"/>
  <c r="P30"/>
  <c r="Q30" s="1"/>
  <c r="P25"/>
  <c r="P27" s="1"/>
  <c r="C54"/>
  <c r="C57" s="1"/>
  <c r="C61" s="1"/>
  <c r="D47"/>
  <c r="G47" s="1"/>
  <c r="I47" s="1"/>
  <c r="J47" s="1"/>
  <c r="D45"/>
  <c r="G45" s="1"/>
  <c r="I45" s="1"/>
  <c r="J45" s="1"/>
  <c r="D21"/>
  <c r="E21" s="1"/>
  <c r="F21" s="1"/>
  <c r="D11"/>
  <c r="E11" s="1"/>
  <c r="F11" s="1"/>
  <c r="D33"/>
  <c r="E33" s="1"/>
  <c r="D7"/>
  <c r="D14"/>
  <c r="G14" s="1"/>
  <c r="I14" s="1"/>
  <c r="D39"/>
  <c r="E39" s="1"/>
  <c r="F39" s="1"/>
  <c r="D41"/>
  <c r="G41" s="1"/>
  <c r="D46"/>
  <c r="G46" s="1"/>
  <c r="G49" s="1"/>
  <c r="D29"/>
  <c r="E29" s="1"/>
  <c r="D30"/>
  <c r="E30" s="1"/>
  <c r="F30" s="1"/>
  <c r="D32"/>
  <c r="E32" s="1"/>
  <c r="F32" s="1"/>
  <c r="D31"/>
  <c r="E31" s="1"/>
  <c r="F31" s="1"/>
  <c r="D18"/>
  <c r="E18" s="1"/>
  <c r="F18" s="1"/>
  <c r="D35"/>
  <c r="E35" s="1"/>
  <c r="F35" s="1"/>
  <c r="D34"/>
  <c r="E34" s="1"/>
  <c r="F34" s="1"/>
  <c r="N16"/>
  <c r="D19"/>
  <c r="E19" s="1"/>
  <c r="F19" s="1"/>
  <c r="D6"/>
  <c r="E6" s="1"/>
  <c r="D20"/>
  <c r="E20" s="1"/>
  <c r="D10"/>
  <c r="D15"/>
  <c r="G15" s="1"/>
  <c r="J15" s="1"/>
  <c r="D22"/>
  <c r="D23"/>
  <c r="E23" s="1"/>
  <c r="D9"/>
  <c r="E9" s="1"/>
  <c r="F9" s="1"/>
  <c r="D28"/>
  <c r="E28" s="1"/>
  <c r="F28" s="1"/>
  <c r="D25"/>
  <c r="E25" s="1"/>
  <c r="D17"/>
  <c r="E17" s="1"/>
  <c r="D12"/>
  <c r="E12" s="1"/>
  <c r="D26"/>
  <c r="G26" s="1"/>
  <c r="J26" s="1"/>
  <c r="D48"/>
  <c r="G48" s="1"/>
  <c r="J48" s="1"/>
  <c r="F50"/>
  <c r="E8"/>
  <c r="F6"/>
  <c r="F23"/>
  <c r="G35"/>
  <c r="I35" s="1"/>
  <c r="J35" s="1"/>
  <c r="G6"/>
  <c r="G34"/>
  <c r="I34" s="1"/>
  <c r="J34" s="1"/>
  <c r="G21"/>
  <c r="I21" s="1"/>
  <c r="J21" s="1"/>
  <c r="G39"/>
  <c r="I39" s="1"/>
  <c r="J39" s="1"/>
  <c r="E22"/>
  <c r="F22" s="1"/>
  <c r="G11"/>
  <c r="I11" s="1"/>
  <c r="J11" s="1"/>
  <c r="F20"/>
  <c r="G16"/>
  <c r="J14"/>
  <c r="I16"/>
  <c r="F25"/>
  <c r="E27"/>
  <c r="G25"/>
  <c r="F17"/>
  <c r="F12"/>
  <c r="G12"/>
  <c r="I12" s="1"/>
  <c r="J12" s="1"/>
  <c r="I41"/>
  <c r="G43"/>
  <c r="I46"/>
  <c r="J46" s="1"/>
  <c r="J49" s="1"/>
  <c r="F29"/>
  <c r="G29"/>
  <c r="I29" s="1"/>
  <c r="J29" s="1"/>
  <c r="G33"/>
  <c r="I33" s="1"/>
  <c r="J33" s="1"/>
  <c r="F33"/>
  <c r="D51"/>
  <c r="G9"/>
  <c r="I9" s="1"/>
  <c r="J9" s="1"/>
  <c r="G28"/>
  <c r="I28" s="1"/>
  <c r="J28" s="1"/>
  <c r="G18"/>
  <c r="I18" s="1"/>
  <c r="J18" s="1"/>
  <c r="G32"/>
  <c r="I32" s="1"/>
  <c r="J32" s="1"/>
  <c r="G30"/>
  <c r="I30" s="1"/>
  <c r="J30" s="1"/>
  <c r="Q54" l="1"/>
  <c r="Q57" s="1"/>
  <c r="Q61" s="1"/>
  <c r="G19"/>
  <c r="I19" s="1"/>
  <c r="J19" s="1"/>
  <c r="G17"/>
  <c r="I17" s="1"/>
  <c r="J17" s="1"/>
  <c r="J16"/>
  <c r="G20"/>
  <c r="I20" s="1"/>
  <c r="J20" s="1"/>
  <c r="G23"/>
  <c r="I23" s="1"/>
  <c r="J23" s="1"/>
  <c r="G31"/>
  <c r="I31" s="1"/>
  <c r="J31" s="1"/>
  <c r="N8"/>
  <c r="P54"/>
  <c r="P57" s="1"/>
  <c r="P61" s="1"/>
  <c r="Q49"/>
  <c r="Q25"/>
  <c r="Q27" s="1"/>
  <c r="Q6"/>
  <c r="Q8" s="1"/>
  <c r="Q14"/>
  <c r="Q16" s="1"/>
  <c r="E10"/>
  <c r="G10" s="1"/>
  <c r="I6"/>
  <c r="G8"/>
  <c r="G22"/>
  <c r="I22" s="1"/>
  <c r="J22" s="1"/>
  <c r="I43"/>
  <c r="J41"/>
  <c r="J43" s="1"/>
  <c r="G27"/>
  <c r="I25"/>
  <c r="I49"/>
  <c r="M54" l="1"/>
  <c r="M57" s="1"/>
  <c r="I10"/>
  <c r="J10" s="1"/>
  <c r="G51"/>
  <c r="I51" s="1"/>
  <c r="I54" s="1"/>
  <c r="I57" s="1"/>
  <c r="I61" s="1"/>
  <c r="F10"/>
  <c r="E51"/>
  <c r="J6"/>
  <c r="J8" s="1"/>
  <c r="I8"/>
  <c r="J25"/>
  <c r="J27" s="1"/>
  <c r="J54" s="1"/>
  <c r="J57" s="1"/>
  <c r="J61" s="1"/>
  <c r="I27"/>
  <c r="G54" l="1"/>
  <c r="G57" s="1"/>
  <c r="G61" s="1"/>
  <c r="M61"/>
  <c r="F51"/>
  <c r="E54"/>
  <c r="E57" s="1"/>
  <c r="E61" s="1"/>
  <c r="F61" s="1"/>
</calcChain>
</file>

<file path=xl/sharedStrings.xml><?xml version="1.0" encoding="utf-8"?>
<sst xmlns="http://schemas.openxmlformats.org/spreadsheetml/2006/main" count="220" uniqueCount="112">
  <si>
    <t>NCI</t>
  </si>
  <si>
    <t>NHLBI</t>
  </si>
  <si>
    <t>NIDCR</t>
  </si>
  <si>
    <t>NINDS</t>
  </si>
  <si>
    <t>NIGMS</t>
  </si>
  <si>
    <t>NICHD</t>
  </si>
  <si>
    <t>NEI</t>
  </si>
  <si>
    <t>NIEHS</t>
  </si>
  <si>
    <t xml:space="preserve">NIA </t>
  </si>
  <si>
    <t>NIAMS</t>
  </si>
  <si>
    <t>NIDCD</t>
  </si>
  <si>
    <t>NIDA</t>
  </si>
  <si>
    <t>NIAAA</t>
  </si>
  <si>
    <t>NINR</t>
  </si>
  <si>
    <t>NHGRI</t>
  </si>
  <si>
    <t>NIBIB</t>
  </si>
  <si>
    <t>NIMHD</t>
  </si>
  <si>
    <t>NCRR</t>
  </si>
  <si>
    <t>NCCAM</t>
  </si>
  <si>
    <t>FIC</t>
  </si>
  <si>
    <t>NLM</t>
  </si>
  <si>
    <t>OD</t>
  </si>
  <si>
    <t>FY 2010 Enacted</t>
  </si>
  <si>
    <t>NLM Program Evaluation</t>
  </si>
  <si>
    <t>% Budget Reduced</t>
  </si>
  <si>
    <t>Specific Reduction</t>
  </si>
  <si>
    <t>Specific FY 2011 CR</t>
  </si>
  <si>
    <t>Total FY 2011 CR</t>
  </si>
  <si>
    <t>General Reduction</t>
  </si>
  <si>
    <t>(Dollars in Thousands)</t>
  </si>
  <si>
    <t>Superfund  (Interior)</t>
  </si>
  <si>
    <t>n/a</t>
  </si>
  <si>
    <r>
      <t>% of Total Labor/HHS</t>
    </r>
    <r>
      <rPr>
        <b/>
        <i/>
        <vertAlign val="superscript"/>
        <sz val="11"/>
        <color indexed="8"/>
        <rFont val="Calibri"/>
        <family val="2"/>
      </rPr>
      <t xml:space="preserve"> 1</t>
    </r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</si>
  <si>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Section 1813 requires a pro rata reduction of $210 million.  Base for calculation is Labor/HHS total minus the B&amp;F account that received specific level.</t>
    </r>
  </si>
  <si>
    <t>IC</t>
  </si>
  <si>
    <t>Total, Discretionary Budget Authority</t>
  </si>
  <si>
    <t>Total, Budget Authority</t>
  </si>
  <si>
    <t>Total, Program Level</t>
  </si>
  <si>
    <t>National Institutes of Health</t>
  </si>
  <si>
    <t>FY 2011 CR per HOUSE LANGUAGE: April 12, 2011</t>
  </si>
  <si>
    <t>Subtotal, Labor/HHS Discretionary Budget Authority</t>
  </si>
  <si>
    <r>
      <t xml:space="preserve">House CR </t>
    </r>
    <r>
      <rPr>
        <b/>
        <sz val="11"/>
        <color indexed="30"/>
        <rFont val="Calibri"/>
        <family val="2"/>
      </rPr>
      <t>Fixed Level</t>
    </r>
    <r>
      <rPr>
        <b/>
        <sz val="11"/>
        <color indexed="8"/>
        <rFont val="Calibri"/>
        <family val="2"/>
      </rPr>
      <t xml:space="preserve"> - B&amp;F</t>
    </r>
    <r>
      <rPr>
        <b/>
        <vertAlign val="superscript"/>
        <sz val="11"/>
        <color indexed="8"/>
        <rFont val="Calibri"/>
        <family val="2"/>
      </rPr>
      <t>2</t>
    </r>
  </si>
  <si>
    <r>
      <t>House CR Reductions (ICs)</t>
    </r>
    <r>
      <rPr>
        <b/>
        <vertAlign val="superscript"/>
        <sz val="11"/>
        <color indexed="8"/>
        <rFont val="Calibri"/>
        <family val="2"/>
      </rPr>
      <t>1</t>
    </r>
  </si>
  <si>
    <r>
      <rPr>
        <vertAlign val="superscript"/>
        <sz val="11"/>
        <color indexed="8"/>
        <rFont val="Calibri"/>
        <family val="2"/>
      </rPr>
      <t xml:space="preserve">5 </t>
    </r>
    <r>
      <rPr>
        <sz val="11"/>
        <color theme="1"/>
        <rFont val="Calibri"/>
        <family val="2"/>
        <scheme val="minor"/>
      </rPr>
      <t>Section 1119(a) identifies a 0.2% recission applicable to all discretionary accounts and elements.</t>
    </r>
  </si>
  <si>
    <t xml:space="preserve">   International Assistance Programs Global Funds to Fight HIV/AIDS, Malaria, and Tuberculosis</t>
  </si>
  <si>
    <t>NIDDK</t>
  </si>
  <si>
    <r>
      <t>General 0.2% Reduction</t>
    </r>
    <r>
      <rPr>
        <b/>
        <i/>
        <vertAlign val="superscript"/>
        <sz val="11"/>
        <color indexed="8"/>
        <rFont val="Calibri"/>
        <family val="2"/>
      </rPr>
      <t>5</t>
    </r>
  </si>
  <si>
    <r>
      <rPr>
        <vertAlign val="superscript"/>
        <sz val="11"/>
        <color indexed="8"/>
        <rFont val="Calibri"/>
        <family val="2"/>
      </rPr>
      <t xml:space="preserve">2 </t>
    </r>
    <r>
      <rPr>
        <sz val="11"/>
        <color theme="1"/>
        <rFont val="Calibri"/>
        <family val="2"/>
        <scheme val="minor"/>
      </rPr>
      <t>Section 1812 identifies $4,818.3M; transfer from Biodefense Coutermeasures funds shall not apply; Division D of P.L. 111-117 - $300M may be made available to</t>
    </r>
  </si>
  <si>
    <r>
      <rPr>
        <vertAlign val="superscript"/>
        <sz val="11"/>
        <color indexed="8"/>
        <rFont val="Calibri"/>
        <family val="2"/>
      </rPr>
      <t xml:space="preserve">3 </t>
    </r>
    <r>
      <rPr>
        <sz val="11"/>
        <color theme="1"/>
        <rFont val="Calibri"/>
        <family val="2"/>
        <scheme val="minor"/>
      </rPr>
      <t>Section 1814 specifies a fixed level of $50.0 million equating to reduction of -$50 million.</t>
    </r>
  </si>
  <si>
    <r>
      <rPr>
        <vertAlign val="superscript"/>
        <sz val="11"/>
        <color indexed="8"/>
        <rFont val="Calibri"/>
        <family val="2"/>
      </rPr>
      <t xml:space="preserve">4 </t>
    </r>
    <r>
      <rPr>
        <sz val="11"/>
        <color theme="1"/>
        <rFont val="Calibri"/>
        <family val="2"/>
        <scheme val="minor"/>
      </rPr>
      <t>Excludes special type 1 mandatory account resources per Section 1119 (a) that applied rescission only to discretionary accounts.</t>
    </r>
  </si>
  <si>
    <r>
      <t xml:space="preserve">Type 1 Diabetes </t>
    </r>
    <r>
      <rPr>
        <b/>
        <vertAlign val="superscript"/>
        <sz val="11"/>
        <color indexed="8"/>
        <rFont val="Calibri"/>
        <family val="2"/>
      </rPr>
      <t>4</t>
    </r>
  </si>
  <si>
    <t xml:space="preserve">  - Global HIV/AIDS</t>
  </si>
  <si>
    <t xml:space="preserve">   - National Children Study</t>
  </si>
  <si>
    <t xml:space="preserve">   - Other OD</t>
  </si>
  <si>
    <r>
      <t xml:space="preserve">  B&amp;F </t>
    </r>
    <r>
      <rPr>
        <b/>
        <vertAlign val="superscript"/>
        <sz val="11"/>
        <color indexed="8"/>
        <rFont val="Calibri"/>
        <family val="2"/>
      </rPr>
      <t>3</t>
    </r>
  </si>
  <si>
    <r>
      <t xml:space="preserve">  NIAID </t>
    </r>
    <r>
      <rPr>
        <b/>
        <vertAlign val="superscript"/>
        <sz val="11"/>
        <color indexed="8"/>
        <rFont val="Calibri"/>
        <family val="2"/>
      </rPr>
      <t>2</t>
    </r>
  </si>
  <si>
    <r>
      <t xml:space="preserve">    - Common Fund</t>
    </r>
    <r>
      <rPr>
        <i/>
        <vertAlign val="superscript"/>
        <sz val="10"/>
        <color indexed="8"/>
        <rFont val="Calibri"/>
        <family val="2"/>
      </rPr>
      <t xml:space="preserve"> </t>
    </r>
    <r>
      <rPr>
        <b/>
        <i/>
        <vertAlign val="superscript"/>
        <sz val="10"/>
        <color indexed="8"/>
        <rFont val="Calibri"/>
        <family val="2"/>
      </rPr>
      <t>6</t>
    </r>
  </si>
  <si>
    <r>
      <rPr>
        <vertAlign val="superscript"/>
        <sz val="11"/>
        <color indexed="8"/>
        <rFont val="Calibri"/>
        <family val="2"/>
      </rPr>
      <t xml:space="preserve">6 </t>
    </r>
    <r>
      <rPr>
        <sz val="11"/>
        <color theme="1"/>
        <rFont val="Calibri"/>
        <family val="2"/>
        <scheme val="minor"/>
      </rPr>
      <t>123 STAT. 3246 P.L. 111-117, Dec 16, 2009, that $544,109K shall be available for CF established under section402A(c) (1) of the Public Health Service Act. Excluded</t>
    </r>
  </si>
  <si>
    <t xml:space="preserve">   from pro rata reduction of $210M and 0.2% recission.</t>
  </si>
  <si>
    <r>
      <t xml:space="preserve">NIMH </t>
    </r>
    <r>
      <rPr>
        <vertAlign val="superscript"/>
        <sz val="11"/>
        <color indexed="8"/>
        <rFont val="Calibri"/>
        <family val="2"/>
      </rPr>
      <t>7</t>
    </r>
  </si>
  <si>
    <r>
      <rPr>
        <vertAlign val="superscript"/>
        <sz val="11"/>
        <color indexed="8"/>
        <rFont val="Calibri"/>
        <family val="2"/>
      </rPr>
      <t>7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$998K for the Interagency Autism Coordnating Committee ($1,000K - $2K = $998K) - includes the 0.2% rescission.</t>
    </r>
  </si>
  <si>
    <t>NCI:</t>
  </si>
  <si>
    <t>NCI - Other</t>
  </si>
  <si>
    <t>B&amp;F</t>
  </si>
  <si>
    <t>Subtotal, NCI</t>
  </si>
  <si>
    <t>NIAID:</t>
  </si>
  <si>
    <t>Appropriated to NIAID</t>
  </si>
  <si>
    <t xml:space="preserve">Transfer to Global HIV/AIDS Fund </t>
  </si>
  <si>
    <t>Subtotal, NIAID</t>
  </si>
  <si>
    <t>NIMH:</t>
  </si>
  <si>
    <t>Appropriated to NIMH</t>
  </si>
  <si>
    <t>Transfer from OS for Autism Committee</t>
  </si>
  <si>
    <t>Subtotal, NIMH</t>
  </si>
  <si>
    <t>OD - Other</t>
  </si>
  <si>
    <t>Common Fund</t>
  </si>
  <si>
    <t>National Children's Study</t>
  </si>
  <si>
    <t>OAR Construction Grants</t>
  </si>
  <si>
    <t>Subtotal, OD</t>
  </si>
  <si>
    <t>NLM - Other</t>
  </si>
  <si>
    <t>Information Systems Improvements</t>
  </si>
  <si>
    <t>Subtotal, NLM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</si>
  <si>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Section 1813 requires a pro rata reduction of $210 million.  Base for calculation is Labor/HHS total minus the B&amp;F account that received specific level.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</si>
  <si>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Section 1812 identifies $4,818.3M; transfer from Biodefense Coutermeasures funds shall not apply; Division D of P.L. 111-117 - $300M may be made available to</t>
    </r>
  </si>
  <si>
    <r>
      <rPr>
        <vertAlign val="superscript"/>
        <sz val="9"/>
        <color indexed="8"/>
        <rFont val="Calibri"/>
        <family val="2"/>
      </rPr>
      <t xml:space="preserve">3 </t>
    </r>
    <r>
      <rPr>
        <sz val="9"/>
        <color indexed="8"/>
        <rFont val="Calibri"/>
        <family val="2"/>
      </rPr>
      <t>Section 1814 specifies a fixed level of $50.0 million equating to reduction of -$50 million.</t>
    </r>
  </si>
  <si>
    <r>
      <rPr>
        <vertAlign val="superscript"/>
        <sz val="9"/>
        <color indexed="8"/>
        <rFont val="Calibri"/>
        <family val="2"/>
      </rPr>
      <t xml:space="preserve">4 </t>
    </r>
    <r>
      <rPr>
        <sz val="9"/>
        <color indexed="8"/>
        <rFont val="Calibri"/>
        <family val="2"/>
      </rPr>
      <t>Excludes special type 1 mandatory account resources per Section 1119 (a) that applied rescission only to discretionary accounts.</t>
    </r>
  </si>
  <si>
    <r>
      <rPr>
        <vertAlign val="superscript"/>
        <sz val="9"/>
        <color indexed="8"/>
        <rFont val="Calibri"/>
        <family val="2"/>
      </rPr>
      <t xml:space="preserve">5 </t>
    </r>
    <r>
      <rPr>
        <sz val="9"/>
        <color indexed="8"/>
        <rFont val="Calibri"/>
        <family val="2"/>
      </rPr>
      <t>Section 1119(a) identifies a 0.2% recission applicable to all discretionary accounts and elements.</t>
    </r>
  </si>
  <si>
    <t>OD:</t>
  </si>
  <si>
    <t>NLM:</t>
  </si>
  <si>
    <r>
      <t>House CR Reductions (ICs)</t>
    </r>
    <r>
      <rPr>
        <vertAlign val="superscript"/>
        <sz val="9"/>
        <color indexed="8"/>
        <rFont val="Calibri"/>
        <family val="2"/>
      </rPr>
      <t>1</t>
    </r>
  </si>
  <si>
    <r>
      <t xml:space="preserve">House CR </t>
    </r>
    <r>
      <rPr>
        <b/>
        <sz val="9"/>
        <color indexed="30"/>
        <rFont val="Calibri"/>
        <family val="2"/>
      </rPr>
      <t>Fixed Level</t>
    </r>
    <r>
      <rPr>
        <b/>
        <sz val="9"/>
        <color indexed="8"/>
        <rFont val="Calibri"/>
        <family val="2"/>
      </rPr>
      <t xml:space="preserve"> - B&amp;F</t>
    </r>
    <r>
      <rPr>
        <b/>
        <vertAlign val="superscript"/>
        <sz val="9"/>
        <color indexed="8"/>
        <rFont val="Calibri"/>
        <family val="2"/>
      </rPr>
      <t>2</t>
    </r>
  </si>
  <si>
    <r>
      <t>% of Total Labor/HHS</t>
    </r>
    <r>
      <rPr>
        <b/>
        <i/>
        <vertAlign val="superscript"/>
        <sz val="9"/>
        <color indexed="8"/>
        <rFont val="Calibri"/>
        <family val="2"/>
      </rPr>
      <t xml:space="preserve"> 1</t>
    </r>
  </si>
  <si>
    <r>
      <t>General 0.2% Reduction</t>
    </r>
    <r>
      <rPr>
        <b/>
        <i/>
        <vertAlign val="superscript"/>
        <sz val="9"/>
        <color indexed="8"/>
        <rFont val="Calibri"/>
        <family val="2"/>
      </rPr>
      <t>5</t>
    </r>
  </si>
  <si>
    <t>Type 1 Diabetes</t>
  </si>
  <si>
    <t>NCATS</t>
  </si>
  <si>
    <t>N/A</t>
  </si>
  <si>
    <t>Cures Acceleration Network</t>
  </si>
  <si>
    <t>Total FY 2012 Conference Report</t>
  </si>
  <si>
    <t>Subtotal, NCATS</t>
  </si>
  <si>
    <t>Amount of LHHS 0.189% Reduction</t>
  </si>
  <si>
    <t>LHHS Bill Reduction
-0.189%</t>
  </si>
  <si>
    <t>Disaster Offset Bill Reduction
-1.83%</t>
  </si>
  <si>
    <t>FY 2012 Conference Report Revised after LHHS Bill Reduction</t>
  </si>
  <si>
    <t>FY 2012 Funding Level After LHHS and Disaster Offset Reductions</t>
  </si>
  <si>
    <t>Public Law 112-XX, FY 2012 Funding Level</t>
  </si>
  <si>
    <r>
      <t>LHHS Bill Reduction
-0.189%</t>
    </r>
    <r>
      <rPr>
        <b/>
        <i/>
        <vertAlign val="superscript"/>
        <sz val="9"/>
        <color theme="1"/>
        <rFont val="Calibri"/>
        <family val="2"/>
        <scheme val="minor"/>
      </rPr>
      <t>1</t>
    </r>
    <r>
      <rPr>
        <b/>
        <i/>
        <sz val="9"/>
        <color theme="1"/>
        <rFont val="Calibri"/>
        <family val="2"/>
        <scheme val="minor"/>
      </rPr>
      <t xml:space="preserve">
</t>
    </r>
  </si>
  <si>
    <t xml:space="preserve"> Superfund received a 0.160% reduction.</t>
  </si>
  <si>
    <t xml:space="preserve"> LHHS 0.189% reduction applied across the board, excluding Superfund and Type I Diabetes.</t>
  </si>
  <si>
    <t xml:space="preserve">H.R. 2055 - Consolidated Appropriations Act, 2012 (Omnibus) </t>
  </si>
  <si>
    <t>FY 2012 Consolidated Appropriations Act After LHHS Bill Reduction
(in thousands)</t>
  </si>
  <si>
    <t>FY 2012 Consolidated Appropriations Act
(in thousands)</t>
  </si>
  <si>
    <t>Amount of LHHS 0.189% Reduction
(in thousands)</t>
  </si>
  <si>
    <t>FY 2012 Conference Report Revised after LHHS Bill Reduction
(in thousands)</t>
  </si>
</sst>
</file>

<file path=xl/styles.xml><?xml version="1.0" encoding="utf-8"?>
<styleSheet xmlns="http://schemas.openxmlformats.org/spreadsheetml/2006/main">
  <numFmts count="18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\+#,##0_);[Red]\-#,##0"/>
    <numFmt numFmtId="166" formatCode="&quot;$&quot;#,##0_);[Red]&quot;$&quot;#,##0"/>
    <numFmt numFmtId="167" formatCode="\+&quot;$&quot;#,##0_);[Red]\-&quot;$&quot;#,##0"/>
    <numFmt numFmtId="168" formatCode="\(#,##0\);[Red]\(#,##0_)"/>
    <numFmt numFmtId="169" formatCode="\(#,##0.0\);[Red]\(#,##0.0_)"/>
    <numFmt numFmtId="170" formatCode="\(\+#,##0\);[Red]\(\-#,##0\)"/>
    <numFmt numFmtId="171" formatCode="\(\+#,##0.0\);[Red]\(\-#,##0.0\)"/>
    <numFmt numFmtId="172" formatCode="\(\+#,##0.0%\);\(\-#,##0.0%\)"/>
    <numFmt numFmtId="173" formatCode="\(\+#,##0_);[Red]\(\-#,##0\)"/>
    <numFmt numFmtId="174" formatCode="\(#,##0.0%\);\(#,##0.0%\)"/>
    <numFmt numFmtId="175" formatCode="@*._."/>
    <numFmt numFmtId="176" formatCode="_(* #,##0_);_(* \(#,##0\);_(* &quot;--&quot;_);_(@_)"/>
    <numFmt numFmtId="177" formatCode="_(* \+#,##0_);[Red]* \-#,##0\ ;_(* &quot;--&quot;_);_(@_)"/>
    <numFmt numFmtId="178" formatCode="0.000%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b/>
      <sz val="11"/>
      <color indexed="30"/>
      <name val="Calibri"/>
      <family val="2"/>
    </font>
    <font>
      <b/>
      <vertAlign val="superscript"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i/>
      <vertAlign val="superscript"/>
      <sz val="10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30"/>
      <name val="Calibri"/>
      <family val="2"/>
    </font>
    <font>
      <b/>
      <sz val="9"/>
      <color indexed="8"/>
      <name val="Calibri"/>
      <family val="2"/>
    </font>
    <font>
      <b/>
      <i/>
      <vertAlign val="superscript"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i/>
      <vertAlign val="superscript"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0">
    <xf numFmtId="0" fontId="0" fillId="0" borderId="0" xfId="0"/>
    <xf numFmtId="37" fontId="0" fillId="0" borderId="0" xfId="0" applyNumberFormat="1"/>
    <xf numFmtId="37" fontId="0" fillId="0" borderId="0" xfId="0" applyNumberFormat="1" applyFill="1" applyBorder="1"/>
    <xf numFmtId="10" fontId="15" fillId="0" borderId="0" xfId="2" applyNumberFormat="1" applyFont="1"/>
    <xf numFmtId="165" fontId="0" fillId="0" borderId="0" xfId="0" applyNumberFormat="1" applyFill="1" applyBorder="1"/>
    <xf numFmtId="0" fontId="0" fillId="0" borderId="1" xfId="0" applyBorder="1"/>
    <xf numFmtId="37" fontId="0" fillId="0" borderId="0" xfId="0" applyNumberFormat="1" applyBorder="1"/>
    <xf numFmtId="164" fontId="15" fillId="0" borderId="0" xfId="2" applyNumberFormat="1" applyFont="1" applyBorder="1"/>
    <xf numFmtId="165" fontId="0" fillId="0" borderId="0" xfId="0" applyNumberFormat="1" applyBorder="1"/>
    <xf numFmtId="37" fontId="0" fillId="0" borderId="2" xfId="0" applyNumberFormat="1" applyBorder="1"/>
    <xf numFmtId="37" fontId="0" fillId="0" borderId="3" xfId="0" applyNumberFormat="1" applyBorder="1"/>
    <xf numFmtId="10" fontId="15" fillId="0" borderId="3" xfId="2" applyNumberFormat="1" applyFont="1" applyBorder="1"/>
    <xf numFmtId="37" fontId="0" fillId="0" borderId="4" xfId="0" applyNumberFormat="1" applyBorder="1"/>
    <xf numFmtId="0" fontId="0" fillId="0" borderId="5" xfId="0" applyBorder="1"/>
    <xf numFmtId="37" fontId="0" fillId="0" borderId="6" xfId="0" applyNumberFormat="1" applyBorder="1"/>
    <xf numFmtId="165" fontId="0" fillId="0" borderId="6" xfId="0" applyNumberFormat="1" applyBorder="1"/>
    <xf numFmtId="37" fontId="0" fillId="0" borderId="7" xfId="0" applyNumberFormat="1" applyBorder="1"/>
    <xf numFmtId="0" fontId="0" fillId="0" borderId="6" xfId="0" applyBorder="1"/>
    <xf numFmtId="0" fontId="0" fillId="0" borderId="7" xfId="0" applyBorder="1"/>
    <xf numFmtId="37" fontId="0" fillId="0" borderId="6" xfId="0" applyNumberFormat="1" applyFill="1" applyBorder="1"/>
    <xf numFmtId="165" fontId="0" fillId="0" borderId="6" xfId="0" applyNumberFormat="1" applyFill="1" applyBorder="1"/>
    <xf numFmtId="164" fontId="15" fillId="0" borderId="6" xfId="2" applyNumberFormat="1" applyFont="1" applyBorder="1" applyAlignment="1">
      <alignment horizontal="center"/>
    </xf>
    <xf numFmtId="10" fontId="15" fillId="0" borderId="6" xfId="2" applyNumberFormat="1" applyFont="1" applyBorder="1" applyAlignment="1">
      <alignment horizontal="center"/>
    </xf>
    <xf numFmtId="10" fontId="15" fillId="0" borderId="0" xfId="2" applyNumberFormat="1" applyFont="1" applyBorder="1" applyAlignment="1">
      <alignment horizontal="center"/>
    </xf>
    <xf numFmtId="164" fontId="15" fillId="0" borderId="8" xfId="2" applyNumberFormat="1" applyFont="1" applyBorder="1" applyAlignment="1">
      <alignment horizontal="center"/>
    </xf>
    <xf numFmtId="164" fontId="15" fillId="0" borderId="8" xfId="2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10" fontId="15" fillId="0" borderId="0" xfId="2" applyNumberFormat="1" applyFont="1" applyFill="1" applyBorder="1"/>
    <xf numFmtId="37" fontId="0" fillId="0" borderId="2" xfId="0" applyNumberFormat="1" applyFill="1" applyBorder="1"/>
    <xf numFmtId="0" fontId="0" fillId="0" borderId="1" xfId="0" applyFill="1" applyBorder="1"/>
    <xf numFmtId="5" fontId="0" fillId="0" borderId="6" xfId="0" applyNumberFormat="1" applyBorder="1"/>
    <xf numFmtId="166" fontId="0" fillId="0" borderId="6" xfId="0" applyNumberFormat="1" applyBorder="1"/>
    <xf numFmtId="167" fontId="0" fillId="0" borderId="6" xfId="0" applyNumberFormat="1" applyBorder="1"/>
    <xf numFmtId="166" fontId="0" fillId="0" borderId="7" xfId="0" applyNumberFormat="1" applyBorder="1"/>
    <xf numFmtId="167" fontId="15" fillId="0" borderId="8" xfId="2" applyNumberFormat="1" applyFont="1" applyBorder="1"/>
    <xf numFmtId="167" fontId="0" fillId="0" borderId="0" xfId="0" applyNumberFormat="1" applyBorder="1"/>
    <xf numFmtId="165" fontId="15" fillId="0" borderId="8" xfId="2" applyNumberFormat="1" applyFont="1" applyBorder="1"/>
    <xf numFmtId="0" fontId="16" fillId="0" borderId="0" xfId="0" applyFont="1"/>
    <xf numFmtId="166" fontId="16" fillId="0" borderId="9" xfId="0" applyNumberFormat="1" applyFont="1" applyBorder="1"/>
    <xf numFmtId="167" fontId="16" fillId="0" borderId="9" xfId="0" applyNumberFormat="1" applyFont="1" applyBorder="1"/>
    <xf numFmtId="164" fontId="16" fillId="0" borderId="10" xfId="2" applyNumberFormat="1" applyFont="1" applyBorder="1" applyAlignment="1">
      <alignment horizontal="center"/>
    </xf>
    <xf numFmtId="167" fontId="16" fillId="0" borderId="9" xfId="2" applyNumberFormat="1" applyFont="1" applyBorder="1"/>
    <xf numFmtId="166" fontId="16" fillId="0" borderId="11" xfId="0" applyNumberFormat="1" applyFont="1" applyBorder="1"/>
    <xf numFmtId="164" fontId="16" fillId="0" borderId="12" xfId="2" applyNumberFormat="1" applyFont="1" applyBorder="1" applyAlignment="1">
      <alignment horizontal="center"/>
    </xf>
    <xf numFmtId="164" fontId="15" fillId="0" borderId="12" xfId="2" applyNumberFormat="1" applyFont="1" applyFill="1" applyBorder="1" applyAlignment="1">
      <alignment horizontal="center"/>
    </xf>
    <xf numFmtId="166" fontId="0" fillId="0" borderId="0" xfId="0" applyNumberFormat="1"/>
    <xf numFmtId="10" fontId="16" fillId="0" borderId="13" xfId="2" applyNumberFormat="1" applyFont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vertical="center" wrapText="1"/>
    </xf>
    <xf numFmtId="10" fontId="17" fillId="2" borderId="14" xfId="2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10" fontId="16" fillId="0" borderId="9" xfId="2" applyNumberFormat="1" applyFont="1" applyBorder="1" applyAlignment="1">
      <alignment horizontal="center"/>
    </xf>
    <xf numFmtId="0" fontId="0" fillId="0" borderId="17" xfId="0" applyFill="1" applyBorder="1"/>
    <xf numFmtId="0" fontId="16" fillId="3" borderId="18" xfId="0" applyFont="1" applyFill="1" applyBorder="1"/>
    <xf numFmtId="166" fontId="16" fillId="3" borderId="19" xfId="0" applyNumberFormat="1" applyFont="1" applyFill="1" applyBorder="1"/>
    <xf numFmtId="10" fontId="16" fillId="3" borderId="19" xfId="2" applyNumberFormat="1" applyFont="1" applyFill="1" applyBorder="1"/>
    <xf numFmtId="165" fontId="16" fillId="3" borderId="19" xfId="0" applyNumberFormat="1" applyFont="1" applyFill="1" applyBorder="1"/>
    <xf numFmtId="37" fontId="16" fillId="3" borderId="19" xfId="0" applyNumberFormat="1" applyFont="1" applyFill="1" applyBorder="1"/>
    <xf numFmtId="37" fontId="16" fillId="3" borderId="20" xfId="0" applyNumberFormat="1" applyFont="1" applyFill="1" applyBorder="1"/>
    <xf numFmtId="0" fontId="16" fillId="3" borderId="21" xfId="0" applyFont="1" applyFill="1" applyBorder="1"/>
    <xf numFmtId="166" fontId="16" fillId="3" borderId="22" xfId="0" applyNumberFormat="1" applyFont="1" applyFill="1" applyBorder="1"/>
    <xf numFmtId="10" fontId="16" fillId="3" borderId="22" xfId="2" applyNumberFormat="1" applyFont="1" applyFill="1" applyBorder="1"/>
    <xf numFmtId="165" fontId="16" fillId="3" borderId="22" xfId="0" applyNumberFormat="1" applyFont="1" applyFill="1" applyBorder="1"/>
    <xf numFmtId="37" fontId="16" fillId="3" borderId="22" xfId="0" applyNumberFormat="1" applyFont="1" applyFill="1" applyBorder="1"/>
    <xf numFmtId="37" fontId="16" fillId="3" borderId="23" xfId="0" applyNumberFormat="1" applyFont="1" applyFill="1" applyBorder="1"/>
    <xf numFmtId="0" fontId="16" fillId="2" borderId="24" xfId="0" applyFont="1" applyFill="1" applyBorder="1" applyAlignment="1">
      <alignment horizontal="center" vertical="center"/>
    </xf>
    <xf numFmtId="166" fontId="16" fillId="0" borderId="13" xfId="0" applyNumberFormat="1" applyFont="1" applyBorder="1"/>
    <xf numFmtId="167" fontId="16" fillId="0" borderId="13" xfId="0" applyNumberFormat="1" applyFont="1" applyBorder="1"/>
    <xf numFmtId="164" fontId="15" fillId="0" borderId="6" xfId="2" applyNumberFormat="1" applyFont="1" applyFill="1" applyBorder="1" applyAlignment="1">
      <alignment horizontal="center"/>
    </xf>
    <xf numFmtId="167" fontId="16" fillId="0" borderId="13" xfId="2" applyNumberFormat="1" applyFont="1" applyBorder="1"/>
    <xf numFmtId="166" fontId="16" fillId="0" borderId="25" xfId="0" applyNumberFormat="1" applyFont="1" applyBorder="1"/>
    <xf numFmtId="0" fontId="16" fillId="0" borderId="26" xfId="0" applyFont="1" applyBorder="1" applyAlignment="1">
      <alignment wrapText="1"/>
    </xf>
    <xf numFmtId="10" fontId="15" fillId="0" borderId="13" xfId="2" applyNumberFormat="1" applyFont="1" applyBorder="1" applyAlignment="1">
      <alignment horizontal="center"/>
    </xf>
    <xf numFmtId="0" fontId="16" fillId="0" borderId="26" xfId="0" applyFont="1" applyBorder="1"/>
    <xf numFmtId="164" fontId="16" fillId="0" borderId="13" xfId="2" applyNumberFormat="1" applyFont="1" applyFill="1" applyBorder="1" applyAlignment="1">
      <alignment horizontal="center"/>
    </xf>
    <xf numFmtId="0" fontId="16" fillId="0" borderId="27" xfId="0" applyFont="1" applyBorder="1"/>
    <xf numFmtId="164" fontId="16" fillId="0" borderId="13" xfId="2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164" fontId="16" fillId="0" borderId="9" xfId="2" applyNumberFormat="1" applyFont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37" fontId="16" fillId="3" borderId="19" xfId="0" applyNumberFormat="1" applyFont="1" applyFill="1" applyBorder="1" applyAlignment="1">
      <alignment horizontal="center"/>
    </xf>
    <xf numFmtId="37" fontId="16" fillId="3" borderId="22" xfId="0" applyNumberFormat="1" applyFont="1" applyFill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1" fontId="0" fillId="0" borderId="5" xfId="0" applyNumberFormat="1" applyBorder="1"/>
    <xf numFmtId="41" fontId="18" fillId="0" borderId="5" xfId="0" applyNumberFormat="1" applyFont="1" applyBorder="1"/>
    <xf numFmtId="0" fontId="18" fillId="0" borderId="0" xfId="0" applyFont="1"/>
    <xf numFmtId="168" fontId="18" fillId="0" borderId="6" xfId="0" applyNumberFormat="1" applyFont="1" applyBorder="1"/>
    <xf numFmtId="168" fontId="18" fillId="0" borderId="7" xfId="0" applyNumberFormat="1" applyFont="1" applyBorder="1"/>
    <xf numFmtId="169" fontId="18" fillId="0" borderId="6" xfId="0" applyNumberFormat="1" applyFont="1" applyBorder="1"/>
    <xf numFmtId="170" fontId="18" fillId="0" borderId="6" xfId="0" applyNumberFormat="1" applyFont="1" applyBorder="1"/>
    <xf numFmtId="169" fontId="18" fillId="0" borderId="7" xfId="0" applyNumberFormat="1" applyFont="1" applyBorder="1"/>
    <xf numFmtId="171" fontId="19" fillId="0" borderId="8" xfId="2" applyNumberFormat="1" applyFont="1" applyBorder="1"/>
    <xf numFmtId="170" fontId="19" fillId="0" borderId="8" xfId="2" applyNumberFormat="1" applyFont="1" applyBorder="1"/>
    <xf numFmtId="172" fontId="19" fillId="0" borderId="6" xfId="2" applyNumberFormat="1" applyFont="1" applyFill="1" applyBorder="1" applyAlignment="1">
      <alignment horizontal="center"/>
    </xf>
    <xf numFmtId="172" fontId="18" fillId="0" borderId="6" xfId="2" applyNumberFormat="1" applyFont="1" applyBorder="1" applyAlignment="1">
      <alignment horizontal="center"/>
    </xf>
    <xf numFmtId="172" fontId="18" fillId="0" borderId="8" xfId="2" applyNumberFormat="1" applyFont="1" applyBorder="1" applyAlignment="1">
      <alignment horizontal="center"/>
    </xf>
    <xf numFmtId="171" fontId="18" fillId="0" borderId="6" xfId="0" applyNumberFormat="1" applyFont="1" applyBorder="1"/>
    <xf numFmtId="173" fontId="18" fillId="0" borderId="6" xfId="0" applyNumberFormat="1" applyFont="1" applyBorder="1"/>
    <xf numFmtId="170" fontId="18" fillId="0" borderId="8" xfId="2" applyNumberFormat="1" applyFont="1" applyBorder="1"/>
    <xf numFmtId="164" fontId="15" fillId="0" borderId="0" xfId="2" applyNumberFormat="1" applyFont="1"/>
    <xf numFmtId="10" fontId="15" fillId="0" borderId="0" xfId="2" applyNumberFormat="1" applyFont="1"/>
    <xf numFmtId="3" fontId="18" fillId="0" borderId="5" xfId="0" applyNumberFormat="1" applyFont="1" applyBorder="1"/>
    <xf numFmtId="3" fontId="0" fillId="0" borderId="5" xfId="0" applyNumberFormat="1" applyBorder="1"/>
    <xf numFmtId="4" fontId="0" fillId="0" borderId="5" xfId="0" applyNumberFormat="1" applyBorder="1"/>
    <xf numFmtId="164" fontId="19" fillId="2" borderId="6" xfId="2" applyNumberFormat="1" applyFont="1" applyFill="1" applyBorder="1" applyAlignment="1">
      <alignment horizontal="center"/>
    </xf>
    <xf numFmtId="164" fontId="19" fillId="2" borderId="6" xfId="2" applyNumberFormat="1" applyFont="1" applyFill="1" applyBorder="1" applyAlignment="1">
      <alignment horizontal="right"/>
    </xf>
    <xf numFmtId="164" fontId="18" fillId="0" borderId="0" xfId="2" applyNumberFormat="1" applyFont="1"/>
    <xf numFmtId="174" fontId="19" fillId="0" borderId="6" xfId="2" applyNumberFormat="1" applyFont="1" applyBorder="1" applyAlignment="1">
      <alignment horizontal="center"/>
    </xf>
    <xf numFmtId="174" fontId="19" fillId="0" borderId="8" xfId="2" applyNumberFormat="1" applyFont="1" applyBorder="1" applyAlignment="1">
      <alignment horizontal="center"/>
    </xf>
    <xf numFmtId="0" fontId="0" fillId="0" borderId="0" xfId="0" applyFont="1"/>
    <xf numFmtId="37" fontId="0" fillId="0" borderId="0" xfId="0" applyNumberFormat="1" applyFont="1"/>
    <xf numFmtId="10" fontId="15" fillId="0" borderId="0" xfId="2" applyNumberFormat="1" applyFont="1"/>
    <xf numFmtId="3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21" fillId="0" borderId="0" xfId="0" applyNumberFormat="1" applyFont="1" applyFill="1" applyBorder="1"/>
    <xf numFmtId="10" fontId="20" fillId="0" borderId="0" xfId="2" applyNumberFormat="1" applyFont="1" applyFill="1" applyBorder="1"/>
    <xf numFmtId="165" fontId="20" fillId="0" borderId="0" xfId="0" applyNumberFormat="1" applyFont="1" applyFill="1" applyBorder="1"/>
    <xf numFmtId="37" fontId="20" fillId="0" borderId="0" xfId="0" applyNumberFormat="1" applyFont="1" applyFill="1" applyBorder="1"/>
    <xf numFmtId="37" fontId="20" fillId="0" borderId="0" xfId="0" applyNumberFormat="1" applyFont="1" applyBorder="1" applyAlignment="1">
      <alignment horizontal="center"/>
    </xf>
    <xf numFmtId="37" fontId="20" fillId="0" borderId="0" xfId="0" applyNumberFormat="1" applyFont="1" applyBorder="1"/>
    <xf numFmtId="0" fontId="20" fillId="0" borderId="0" xfId="0" applyFont="1"/>
    <xf numFmtId="5" fontId="20" fillId="0" borderId="6" xfId="0" applyNumberFormat="1" applyFont="1" applyBorder="1"/>
    <xf numFmtId="164" fontId="20" fillId="0" borderId="6" xfId="2" applyNumberFormat="1" applyFont="1" applyBorder="1" applyAlignment="1">
      <alignment horizontal="center"/>
    </xf>
    <xf numFmtId="167" fontId="20" fillId="0" borderId="6" xfId="0" applyNumberFormat="1" applyFont="1" applyBorder="1"/>
    <xf numFmtId="164" fontId="20" fillId="0" borderId="8" xfId="2" applyNumberFormat="1" applyFont="1" applyBorder="1" applyAlignment="1">
      <alignment horizontal="center"/>
    </xf>
    <xf numFmtId="167" fontId="20" fillId="0" borderId="8" xfId="2" applyNumberFormat="1" applyFont="1" applyBorder="1"/>
    <xf numFmtId="37" fontId="20" fillId="0" borderId="6" xfId="0" applyNumberFormat="1" applyFont="1" applyBorder="1"/>
    <xf numFmtId="165" fontId="20" fillId="0" borderId="6" xfId="0" applyNumberFormat="1" applyFont="1" applyBorder="1"/>
    <xf numFmtId="165" fontId="20" fillId="0" borderId="8" xfId="2" applyNumberFormat="1" applyFont="1" applyBorder="1"/>
    <xf numFmtId="166" fontId="21" fillId="0" borderId="13" xfId="0" applyNumberFormat="1" applyFont="1" applyBorder="1"/>
    <xf numFmtId="10" fontId="21" fillId="0" borderId="13" xfId="2" applyNumberFormat="1" applyFont="1" applyBorder="1" applyAlignment="1">
      <alignment horizontal="center"/>
    </xf>
    <xf numFmtId="167" fontId="21" fillId="0" borderId="13" xfId="0" applyNumberFormat="1" applyFont="1" applyBorder="1"/>
    <xf numFmtId="167" fontId="21" fillId="0" borderId="13" xfId="2" applyNumberFormat="1" applyFont="1" applyBorder="1"/>
    <xf numFmtId="0" fontId="20" fillId="0" borderId="6" xfId="0" applyFont="1" applyBorder="1"/>
    <xf numFmtId="10" fontId="20" fillId="0" borderId="6" xfId="2" applyNumberFormat="1" applyFont="1" applyBorder="1" applyAlignment="1">
      <alignment horizontal="center"/>
    </xf>
    <xf numFmtId="37" fontId="20" fillId="0" borderId="6" xfId="0" applyNumberFormat="1" applyFont="1" applyFill="1" applyBorder="1"/>
    <xf numFmtId="165" fontId="20" fillId="0" borderId="6" xfId="0" applyNumberFormat="1" applyFont="1" applyFill="1" applyBorder="1"/>
    <xf numFmtId="10" fontId="20" fillId="0" borderId="13" xfId="2" applyNumberFormat="1" applyFont="1" applyBorder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165" fontId="20" fillId="0" borderId="0" xfId="0" applyNumberFormat="1" applyFont="1" applyBorder="1"/>
    <xf numFmtId="164" fontId="20" fillId="0" borderId="0" xfId="2" applyNumberFormat="1" applyFont="1" applyBorder="1"/>
    <xf numFmtId="167" fontId="20" fillId="0" borderId="0" xfId="0" applyNumberFormat="1" applyFont="1" applyBorder="1"/>
    <xf numFmtId="166" fontId="21" fillId="3" borderId="19" xfId="0" applyNumberFormat="1" applyFont="1" applyFill="1" applyBorder="1"/>
    <xf numFmtId="10" fontId="21" fillId="3" borderId="19" xfId="2" applyNumberFormat="1" applyFont="1" applyFill="1" applyBorder="1"/>
    <xf numFmtId="165" fontId="21" fillId="3" borderId="19" xfId="0" applyNumberFormat="1" applyFont="1" applyFill="1" applyBorder="1"/>
    <xf numFmtId="37" fontId="21" fillId="3" borderId="19" xfId="0" applyNumberFormat="1" applyFont="1" applyFill="1" applyBorder="1"/>
    <xf numFmtId="37" fontId="21" fillId="3" borderId="19" xfId="0" applyNumberFormat="1" applyFont="1" applyFill="1" applyBorder="1" applyAlignment="1">
      <alignment horizontal="center"/>
    </xf>
    <xf numFmtId="166" fontId="21" fillId="3" borderId="22" xfId="0" applyNumberFormat="1" applyFont="1" applyFill="1" applyBorder="1"/>
    <xf numFmtId="10" fontId="21" fillId="3" borderId="22" xfId="2" applyNumberFormat="1" applyFont="1" applyFill="1" applyBorder="1"/>
    <xf numFmtId="165" fontId="21" fillId="3" borderId="22" xfId="0" applyNumberFormat="1" applyFont="1" applyFill="1" applyBorder="1"/>
    <xf numFmtId="37" fontId="21" fillId="3" borderId="22" xfId="0" applyNumberFormat="1" applyFont="1" applyFill="1" applyBorder="1"/>
    <xf numFmtId="37" fontId="21" fillId="3" borderId="22" xfId="0" applyNumberFormat="1" applyFont="1" applyFill="1" applyBorder="1" applyAlignment="1">
      <alignment horizontal="center"/>
    </xf>
    <xf numFmtId="0" fontId="23" fillId="0" borderId="28" xfId="0" applyNumberFormat="1" applyFont="1" applyBorder="1" applyAlignment="1">
      <alignment horizontal="left"/>
    </xf>
    <xf numFmtId="175" fontId="20" fillId="0" borderId="28" xfId="0" applyNumberFormat="1" applyFont="1" applyBorder="1" applyAlignment="1">
      <alignment horizontal="left" indent="1"/>
    </xf>
    <xf numFmtId="175" fontId="20" fillId="0" borderId="28" xfId="0" applyNumberFormat="1" applyFont="1" applyBorder="1" applyAlignment="1">
      <alignment horizontal="left" indent="2"/>
    </xf>
    <xf numFmtId="175" fontId="20" fillId="0" borderId="28" xfId="0" applyNumberFormat="1" applyFont="1" applyBorder="1"/>
    <xf numFmtId="49" fontId="23" fillId="0" borderId="28" xfId="0" applyNumberFormat="1" applyFont="1" applyBorder="1" applyAlignment="1">
      <alignment horizontal="left"/>
    </xf>
    <xf numFmtId="175" fontId="24" fillId="0" borderId="28" xfId="0" applyNumberFormat="1" applyFont="1" applyBorder="1" applyAlignment="1">
      <alignment horizontal="left" indent="1"/>
    </xf>
    <xf numFmtId="175" fontId="24" fillId="0" borderId="28" xfId="0" applyNumberFormat="1" applyFont="1" applyBorder="1" applyAlignment="1">
      <alignment horizontal="left" indent="2"/>
    </xf>
    <xf numFmtId="0" fontId="21" fillId="0" borderId="29" xfId="0" applyFont="1" applyBorder="1" applyAlignment="1">
      <alignment wrapText="1"/>
    </xf>
    <xf numFmtId="0" fontId="20" fillId="0" borderId="28" xfId="0" applyFont="1" applyBorder="1"/>
    <xf numFmtId="175" fontId="21" fillId="0" borderId="29" xfId="0" applyNumberFormat="1" applyFont="1" applyBorder="1" applyAlignment="1">
      <alignment wrapText="1"/>
    </xf>
    <xf numFmtId="175" fontId="21" fillId="0" borderId="29" xfId="0" applyNumberFormat="1" applyFont="1" applyBorder="1"/>
    <xf numFmtId="0" fontId="20" fillId="0" borderId="0" xfId="0" applyFont="1" applyBorder="1"/>
    <xf numFmtId="0" fontId="21" fillId="3" borderId="19" xfId="0" applyFont="1" applyFill="1" applyBorder="1"/>
    <xf numFmtId="0" fontId="21" fillId="3" borderId="22" xfId="0" applyFont="1" applyFill="1" applyBorder="1"/>
    <xf numFmtId="0" fontId="20" fillId="0" borderId="0" xfId="0" applyFont="1" applyFill="1" applyBorder="1"/>
    <xf numFmtId="10" fontId="20" fillId="0" borderId="6" xfId="2" applyNumberFormat="1" applyFont="1" applyFill="1" applyBorder="1" applyAlignment="1">
      <alignment horizontal="center"/>
    </xf>
    <xf numFmtId="10" fontId="21" fillId="0" borderId="13" xfId="2" applyNumberFormat="1" applyFont="1" applyFill="1" applyBorder="1" applyAlignment="1">
      <alignment horizontal="center"/>
    </xf>
    <xf numFmtId="10" fontId="20" fillId="0" borderId="8" xfId="2" applyNumberFormat="1" applyFont="1" applyBorder="1" applyAlignment="1">
      <alignment horizontal="center"/>
    </xf>
    <xf numFmtId="10" fontId="21" fillId="0" borderId="12" xfId="2" applyNumberFormat="1" applyFont="1" applyBorder="1" applyAlignment="1">
      <alignment horizontal="center"/>
    </xf>
    <xf numFmtId="10" fontId="20" fillId="0" borderId="8" xfId="2" applyNumberFormat="1" applyFont="1" applyFill="1" applyBorder="1" applyAlignment="1">
      <alignment horizontal="center"/>
    </xf>
    <xf numFmtId="10" fontId="20" fillId="0" borderId="12" xfId="2" applyNumberFormat="1" applyFont="1" applyFill="1" applyBorder="1" applyAlignment="1">
      <alignment horizontal="center"/>
    </xf>
    <xf numFmtId="176" fontId="23" fillId="0" borderId="6" xfId="1" applyNumberFormat="1" applyFont="1" applyBorder="1" applyAlignment="1">
      <alignment horizontal="right"/>
    </xf>
    <xf numFmtId="177" fontId="23" fillId="0" borderId="6" xfId="1" applyNumberFormat="1" applyFont="1" applyBorder="1" applyAlignment="1">
      <alignment horizontal="right"/>
    </xf>
    <xf numFmtId="10" fontId="20" fillId="2" borderId="6" xfId="2" applyNumberFormat="1" applyFont="1" applyFill="1" applyBorder="1" applyAlignment="1">
      <alignment horizontal="center"/>
    </xf>
    <xf numFmtId="37" fontId="20" fillId="0" borderId="6" xfId="0" applyNumberFormat="1" applyFont="1" applyBorder="1" applyAlignment="1">
      <alignment horizontal="right"/>
    </xf>
    <xf numFmtId="167" fontId="20" fillId="0" borderId="6" xfId="2" applyNumberFormat="1" applyFont="1" applyBorder="1"/>
    <xf numFmtId="165" fontId="20" fillId="0" borderId="6" xfId="2" applyNumberFormat="1" applyFont="1" applyBorder="1"/>
    <xf numFmtId="0" fontId="22" fillId="2" borderId="13" xfId="0" applyFont="1" applyFill="1" applyBorder="1" applyAlignment="1">
      <alignment horizontal="center" vertical="center" wrapText="1"/>
    </xf>
    <xf numFmtId="10" fontId="22" fillId="2" borderId="13" xfId="2" applyNumberFormat="1" applyFont="1" applyFill="1" applyBorder="1" applyAlignment="1">
      <alignment horizontal="center" vertical="center" wrapText="1"/>
    </xf>
    <xf numFmtId="164" fontId="21" fillId="0" borderId="13" xfId="2" applyNumberFormat="1" applyFont="1" applyBorder="1" applyAlignment="1">
      <alignment horizontal="center"/>
    </xf>
    <xf numFmtId="0" fontId="20" fillId="0" borderId="8" xfId="0" applyFont="1" applyBorder="1"/>
    <xf numFmtId="0" fontId="25" fillId="0" borderId="8" xfId="0" applyFont="1" applyBorder="1"/>
    <xf numFmtId="0" fontId="21" fillId="0" borderId="32" xfId="0" applyFont="1" applyBorder="1"/>
    <xf numFmtId="0" fontId="21" fillId="3" borderId="33" xfId="0" applyFont="1" applyFill="1" applyBorder="1"/>
    <xf numFmtId="0" fontId="21" fillId="3" borderId="32" xfId="0" applyFont="1" applyFill="1" applyBorder="1"/>
    <xf numFmtId="0" fontId="20" fillId="0" borderId="8" xfId="0" applyFont="1" applyFill="1" applyBorder="1"/>
    <xf numFmtId="0" fontId="20" fillId="0" borderId="32" xfId="0" applyFont="1" applyBorder="1"/>
    <xf numFmtId="0" fontId="20" fillId="0" borderId="22" xfId="0" applyFont="1" applyFill="1" applyBorder="1"/>
    <xf numFmtId="37" fontId="20" fillId="0" borderId="22" xfId="0" applyNumberFormat="1" applyFont="1" applyBorder="1"/>
    <xf numFmtId="10" fontId="20" fillId="0" borderId="22" xfId="2" applyNumberFormat="1" applyFont="1" applyBorder="1"/>
    <xf numFmtId="37" fontId="20" fillId="0" borderId="22" xfId="0" applyNumberFormat="1" applyFont="1" applyBorder="1" applyAlignment="1">
      <alignment horizontal="center"/>
    </xf>
    <xf numFmtId="0" fontId="21" fillId="2" borderId="29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178" fontId="21" fillId="0" borderId="13" xfId="2" applyNumberFormat="1" applyFont="1" applyBorder="1" applyAlignment="1">
      <alignment horizontal="center"/>
    </xf>
    <xf numFmtId="178" fontId="20" fillId="0" borderId="6" xfId="2" applyNumberFormat="1" applyFont="1" applyBorder="1" applyAlignment="1">
      <alignment horizontal="center"/>
    </xf>
    <xf numFmtId="178" fontId="20" fillId="0" borderId="13" xfId="2" applyNumberFormat="1" applyFont="1" applyBorder="1" applyAlignment="1">
      <alignment horizontal="center"/>
    </xf>
    <xf numFmtId="178" fontId="20" fillId="0" borderId="6" xfId="2" applyNumberFormat="1" applyFont="1" applyFill="1" applyBorder="1" applyAlignment="1">
      <alignment horizontal="center"/>
    </xf>
    <xf numFmtId="176" fontId="28" fillId="0" borderId="6" xfId="1" applyNumberFormat="1" applyFont="1" applyBorder="1" applyAlignment="1">
      <alignment horizontal="right"/>
    </xf>
    <xf numFmtId="37" fontId="20" fillId="0" borderId="30" xfId="0" applyNumberFormat="1" applyFont="1" applyBorder="1" applyAlignment="1">
      <alignment horizontal="center"/>
    </xf>
    <xf numFmtId="37" fontId="21" fillId="3" borderId="30" xfId="0" applyNumberFormat="1" applyFont="1" applyFill="1" applyBorder="1" applyAlignment="1">
      <alignment horizontal="center"/>
    </xf>
    <xf numFmtId="37" fontId="21" fillId="3" borderId="31" xfId="0" applyNumberFormat="1" applyFont="1" applyFill="1" applyBorder="1" applyAlignment="1">
      <alignment horizontal="center"/>
    </xf>
    <xf numFmtId="37" fontId="20" fillId="0" borderId="28" xfId="0" applyNumberFormat="1" applyFont="1" applyBorder="1" applyAlignment="1">
      <alignment horizontal="center"/>
    </xf>
    <xf numFmtId="37" fontId="20" fillId="0" borderId="31" xfId="0" applyNumberFormat="1" applyFont="1" applyBorder="1" applyAlignment="1">
      <alignment horizontal="center"/>
    </xf>
    <xf numFmtId="177" fontId="20" fillId="0" borderId="6" xfId="0" applyNumberFormat="1" applyFont="1" applyBorder="1"/>
    <xf numFmtId="177" fontId="20" fillId="0" borderId="6" xfId="0" applyNumberFormat="1" applyFont="1" applyBorder="1" applyAlignment="1">
      <alignment horizontal="right"/>
    </xf>
    <xf numFmtId="176" fontId="23" fillId="0" borderId="6" xfId="1" applyNumberFormat="1" applyFont="1" applyFill="1" applyBorder="1" applyAlignment="1">
      <alignment horizontal="right"/>
    </xf>
    <xf numFmtId="178" fontId="20" fillId="4" borderId="6" xfId="2" applyNumberFormat="1" applyFont="1" applyFill="1" applyBorder="1" applyAlignment="1">
      <alignment horizontal="center"/>
    </xf>
    <xf numFmtId="0" fontId="9" fillId="0" borderId="8" xfId="0" applyFont="1" applyFill="1" applyBorder="1"/>
    <xf numFmtId="5" fontId="20" fillId="0" borderId="6" xfId="0" applyNumberFormat="1" applyFont="1" applyFill="1" applyBorder="1"/>
    <xf numFmtId="176" fontId="28" fillId="0" borderId="6" xfId="1" applyNumberFormat="1" applyFont="1" applyFill="1" applyBorder="1" applyAlignment="1">
      <alignment horizontal="right"/>
    </xf>
    <xf numFmtId="177" fontId="20" fillId="0" borderId="6" xfId="0" applyNumberFormat="1" applyFont="1" applyFill="1" applyBorder="1"/>
    <xf numFmtId="37" fontId="20" fillId="0" borderId="6" xfId="0" applyNumberFormat="1" applyFont="1" applyFill="1" applyBorder="1" applyAlignment="1">
      <alignment horizontal="right"/>
    </xf>
    <xf numFmtId="166" fontId="21" fillId="0" borderId="13" xfId="0" applyNumberFormat="1" applyFont="1" applyFill="1" applyBorder="1"/>
    <xf numFmtId="0" fontId="20" fillId="0" borderId="6" xfId="0" applyFont="1" applyFill="1" applyBorder="1"/>
    <xf numFmtId="0" fontId="20" fillId="0" borderId="0" xfId="0" applyFont="1" applyBorder="1" applyAlignment="1"/>
    <xf numFmtId="0" fontId="10" fillId="0" borderId="8" xfId="0" applyFont="1" applyFill="1" applyBorder="1"/>
    <xf numFmtId="0" fontId="20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26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top"/>
    </xf>
    <xf numFmtId="0" fontId="26" fillId="0" borderId="0" xfId="0" applyFont="1" applyBorder="1" applyAlignment="1">
      <alignment horizontal="centerContinuous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showGridLines="0" tabSelected="1" zoomScaleNormal="100" workbookViewId="0">
      <pane ySplit="4" topLeftCell="A5" activePane="bottomLeft" state="frozen"/>
      <selection pane="bottomLeft" activeCell="M17" sqref="M17"/>
    </sheetView>
  </sheetViews>
  <sheetFormatPr defaultRowHeight="15"/>
  <cols>
    <col min="1" max="1" width="1.85546875" style="123" bestFit="1" customWidth="1"/>
    <col min="2" max="2" width="39.7109375" style="123" customWidth="1"/>
    <col min="3" max="3" width="17.140625" style="112" bestFit="1" customWidth="1"/>
    <col min="4" max="4" width="11" style="116" bestFit="1" customWidth="1"/>
    <col min="5" max="5" width="15" style="112" bestFit="1" customWidth="1"/>
    <col min="6" max="6" width="22.7109375" style="112" hidden="1" customWidth="1"/>
    <col min="7" max="7" width="22.7109375" style="112" bestFit="1" customWidth="1"/>
    <col min="8" max="16384" width="9.140625" style="112"/>
  </cols>
  <sheetData>
    <row r="1" spans="1:7" ht="27.75" customHeight="1">
      <c r="A1" s="221"/>
      <c r="B1" s="222" t="s">
        <v>38</v>
      </c>
      <c r="C1" s="223"/>
      <c r="D1" s="223"/>
      <c r="E1" s="223"/>
      <c r="F1" s="223"/>
      <c r="G1" s="223"/>
    </row>
    <row r="2" spans="1:7" ht="26.25" customHeight="1">
      <c r="A2" s="221"/>
      <c r="B2" s="224"/>
      <c r="C2" s="223"/>
      <c r="D2" s="223"/>
      <c r="E2" s="223"/>
      <c r="F2" s="223"/>
      <c r="G2" s="223"/>
    </row>
    <row r="3" spans="1:7" ht="24" customHeight="1">
      <c r="A3" s="221"/>
      <c r="B3" s="229" t="s">
        <v>107</v>
      </c>
      <c r="C3" s="223"/>
      <c r="D3" s="223"/>
      <c r="E3" s="223"/>
      <c r="F3" s="223"/>
      <c r="G3" s="223"/>
    </row>
    <row r="4" spans="1:7" ht="52.5">
      <c r="A4" s="197"/>
      <c r="B4" s="196" t="s">
        <v>34</v>
      </c>
      <c r="C4" s="182" t="s">
        <v>109</v>
      </c>
      <c r="D4" s="182" t="s">
        <v>104</v>
      </c>
      <c r="E4" s="182" t="s">
        <v>110</v>
      </c>
      <c r="F4" s="182" t="s">
        <v>111</v>
      </c>
      <c r="G4" s="182" t="s">
        <v>108</v>
      </c>
    </row>
    <row r="5" spans="1:7">
      <c r="A5" s="185"/>
      <c r="B5" s="155" t="s">
        <v>61</v>
      </c>
      <c r="C5" s="124"/>
      <c r="D5" s="125"/>
      <c r="E5" s="126"/>
      <c r="F5" s="124"/>
      <c r="G5" s="124"/>
    </row>
    <row r="6" spans="1:7">
      <c r="A6" s="185"/>
      <c r="B6" s="156" t="s">
        <v>62</v>
      </c>
      <c r="C6" s="129">
        <f>(5081788000-8000000)/1000</f>
        <v>5073788</v>
      </c>
      <c r="D6" s="199">
        <v>-1.89E-3</v>
      </c>
      <c r="E6" s="208">
        <f>(ROUND(C6*D6,0))</f>
        <v>-9589</v>
      </c>
      <c r="F6" s="213">
        <f>C6+E6</f>
        <v>5064199</v>
      </c>
      <c r="G6" s="213">
        <f t="shared" ref="G6:G12" si="0">F6</f>
        <v>5064199</v>
      </c>
    </row>
    <row r="7" spans="1:7" ht="16.5">
      <c r="A7" s="185"/>
      <c r="B7" s="156" t="s">
        <v>63</v>
      </c>
      <c r="C7" s="202">
        <f>8000000/1000</f>
        <v>8000</v>
      </c>
      <c r="D7" s="199">
        <v>-1.89E-3</v>
      </c>
      <c r="E7" s="177">
        <f>ROUND(C7*D7,0)</f>
        <v>-15</v>
      </c>
      <c r="F7" s="214">
        <f>C7+E7</f>
        <v>7985</v>
      </c>
      <c r="G7" s="214">
        <f t="shared" si="0"/>
        <v>7985</v>
      </c>
    </row>
    <row r="8" spans="1:7">
      <c r="A8" s="185"/>
      <c r="B8" s="157" t="s">
        <v>64</v>
      </c>
      <c r="C8" s="129">
        <f>SUM(C6:C7)</f>
        <v>5081788</v>
      </c>
      <c r="D8" s="199"/>
      <c r="E8" s="208">
        <f>SUM(E6:E7)</f>
        <v>-9604</v>
      </c>
      <c r="F8" s="138">
        <f>SUM(F6:F7)</f>
        <v>5072184</v>
      </c>
      <c r="G8" s="138">
        <f t="shared" si="0"/>
        <v>5072184</v>
      </c>
    </row>
    <row r="9" spans="1:7">
      <c r="A9" s="185"/>
      <c r="B9" s="158" t="s">
        <v>1</v>
      </c>
      <c r="C9" s="129">
        <f>3084851000/1000</f>
        <v>3084851</v>
      </c>
      <c r="D9" s="199">
        <v>-1.89E-3</v>
      </c>
      <c r="E9" s="208">
        <f t="shared" ref="E9:E12" si="1">ROUND(C9*D9,0)</f>
        <v>-5830</v>
      </c>
      <c r="F9" s="138">
        <f t="shared" ref="F9:F12" si="2">C9+E9</f>
        <v>3079021</v>
      </c>
      <c r="G9" s="138">
        <f t="shared" si="0"/>
        <v>3079021</v>
      </c>
    </row>
    <row r="10" spans="1:7">
      <c r="A10" s="185"/>
      <c r="B10" s="158" t="s">
        <v>2</v>
      </c>
      <c r="C10" s="129">
        <f>411488000/1000</f>
        <v>411488</v>
      </c>
      <c r="D10" s="199">
        <v>-1.89E-3</v>
      </c>
      <c r="E10" s="208">
        <f t="shared" si="1"/>
        <v>-778</v>
      </c>
      <c r="F10" s="138">
        <f t="shared" si="2"/>
        <v>410710</v>
      </c>
      <c r="G10" s="138">
        <f t="shared" si="0"/>
        <v>410710</v>
      </c>
    </row>
    <row r="11" spans="1:7">
      <c r="A11" s="185"/>
      <c r="B11" s="158" t="s">
        <v>45</v>
      </c>
      <c r="C11" s="129">
        <f>1800447000/1000</f>
        <v>1800447</v>
      </c>
      <c r="D11" s="199">
        <v>-1.89E-3</v>
      </c>
      <c r="E11" s="208">
        <f t="shared" si="1"/>
        <v>-3403</v>
      </c>
      <c r="F11" s="138">
        <f t="shared" si="2"/>
        <v>1797044</v>
      </c>
      <c r="G11" s="138">
        <f t="shared" si="0"/>
        <v>1797044</v>
      </c>
    </row>
    <row r="12" spans="1:7">
      <c r="A12" s="185"/>
      <c r="B12" s="158" t="s">
        <v>3</v>
      </c>
      <c r="C12" s="129">
        <f>1629445000/1000</f>
        <v>1629445</v>
      </c>
      <c r="D12" s="199">
        <v>-1.89E-3</v>
      </c>
      <c r="E12" s="208">
        <f t="shared" si="1"/>
        <v>-3080</v>
      </c>
      <c r="F12" s="138">
        <f t="shared" si="2"/>
        <v>1626365</v>
      </c>
      <c r="G12" s="138">
        <f t="shared" si="0"/>
        <v>1626365</v>
      </c>
    </row>
    <row r="13" spans="1:7">
      <c r="A13" s="186"/>
      <c r="B13" s="159" t="s">
        <v>65</v>
      </c>
      <c r="C13" s="129"/>
      <c r="D13" s="199"/>
      <c r="E13" s="208"/>
      <c r="F13" s="138"/>
      <c r="G13" s="138"/>
    </row>
    <row r="14" spans="1:7">
      <c r="A14" s="185"/>
      <c r="B14" s="160" t="s">
        <v>66</v>
      </c>
      <c r="C14" s="129">
        <f>4499215000/1000</f>
        <v>4499215</v>
      </c>
      <c r="D14" s="199">
        <v>-1.89E-3</v>
      </c>
      <c r="E14" s="208">
        <f>ROUND(C14*D14,0)</f>
        <v>-8504</v>
      </c>
      <c r="F14" s="138">
        <f t="shared" ref="F14:F39" si="3">C14+E14</f>
        <v>4490711</v>
      </c>
      <c r="G14" s="138">
        <f>F14</f>
        <v>4490711</v>
      </c>
    </row>
    <row r="15" spans="1:7" ht="16.5">
      <c r="A15" s="185"/>
      <c r="B15" s="156" t="s">
        <v>67</v>
      </c>
      <c r="C15" s="202">
        <v>0</v>
      </c>
      <c r="D15" s="199">
        <v>0</v>
      </c>
      <c r="E15" s="177">
        <v>0</v>
      </c>
      <c r="F15" s="214">
        <v>0</v>
      </c>
      <c r="G15" s="214">
        <v>0</v>
      </c>
    </row>
    <row r="16" spans="1:7">
      <c r="A16" s="185"/>
      <c r="B16" s="161" t="s">
        <v>68</v>
      </c>
      <c r="C16" s="129">
        <f>SUM(C14:C15)</f>
        <v>4499215</v>
      </c>
      <c r="D16" s="199"/>
      <c r="E16" s="208">
        <f>SUM(E14:E15)</f>
        <v>-8504</v>
      </c>
      <c r="F16" s="138">
        <f>SUM(F14:F15)</f>
        <v>4490711</v>
      </c>
      <c r="G16" s="138">
        <f t="shared" ref="G16:G23" si="4">F16</f>
        <v>4490711</v>
      </c>
    </row>
    <row r="17" spans="1:7">
      <c r="A17" s="185"/>
      <c r="B17" s="158" t="s">
        <v>4</v>
      </c>
      <c r="C17" s="129">
        <f>2434637000/1000</f>
        <v>2434637</v>
      </c>
      <c r="D17" s="199">
        <v>-1.89E-3</v>
      </c>
      <c r="E17" s="208">
        <f>ROUND(C17*D17,0)</f>
        <v>-4601</v>
      </c>
      <c r="F17" s="138">
        <f t="shared" si="3"/>
        <v>2430036</v>
      </c>
      <c r="G17" s="138">
        <f t="shared" si="4"/>
        <v>2430036</v>
      </c>
    </row>
    <row r="18" spans="1:7">
      <c r="A18" s="185"/>
      <c r="B18" s="158" t="s">
        <v>5</v>
      </c>
      <c r="C18" s="129">
        <f>1323900000/1000</f>
        <v>1323900</v>
      </c>
      <c r="D18" s="199">
        <v>-1.89E-3</v>
      </c>
      <c r="E18" s="208">
        <f t="shared" ref="E18:E23" si="5">ROUND(C18*D18,0)</f>
        <v>-2502</v>
      </c>
      <c r="F18" s="138">
        <f t="shared" si="3"/>
        <v>1321398</v>
      </c>
      <c r="G18" s="138">
        <f t="shared" si="4"/>
        <v>1321398</v>
      </c>
    </row>
    <row r="19" spans="1:7">
      <c r="A19" s="185"/>
      <c r="B19" s="158" t="s">
        <v>6</v>
      </c>
      <c r="C19" s="129">
        <f>704043000/1000</f>
        <v>704043</v>
      </c>
      <c r="D19" s="199">
        <v>-1.89E-3</v>
      </c>
      <c r="E19" s="208">
        <f t="shared" si="5"/>
        <v>-1331</v>
      </c>
      <c r="F19" s="138">
        <f t="shared" si="3"/>
        <v>702712</v>
      </c>
      <c r="G19" s="138">
        <f t="shared" si="4"/>
        <v>702712</v>
      </c>
    </row>
    <row r="20" spans="1:7">
      <c r="A20" s="185"/>
      <c r="B20" s="158" t="s">
        <v>7</v>
      </c>
      <c r="C20" s="129">
        <f>686869000/1000</f>
        <v>686869</v>
      </c>
      <c r="D20" s="199">
        <v>-1.89E-3</v>
      </c>
      <c r="E20" s="208">
        <f t="shared" si="5"/>
        <v>-1298</v>
      </c>
      <c r="F20" s="138">
        <f t="shared" si="3"/>
        <v>685571</v>
      </c>
      <c r="G20" s="138">
        <f t="shared" si="4"/>
        <v>685571</v>
      </c>
    </row>
    <row r="21" spans="1:7">
      <c r="A21" s="185"/>
      <c r="B21" s="158" t="s">
        <v>8</v>
      </c>
      <c r="C21" s="129">
        <f>1105530000/1000</f>
        <v>1105530</v>
      </c>
      <c r="D21" s="199">
        <v>-1.89E-3</v>
      </c>
      <c r="E21" s="208">
        <f t="shared" si="5"/>
        <v>-2089</v>
      </c>
      <c r="F21" s="138">
        <f t="shared" si="3"/>
        <v>1103441</v>
      </c>
      <c r="G21" s="138">
        <f t="shared" si="4"/>
        <v>1103441</v>
      </c>
    </row>
    <row r="22" spans="1:7">
      <c r="A22" s="185"/>
      <c r="B22" s="158" t="s">
        <v>9</v>
      </c>
      <c r="C22" s="129">
        <f>536801000/1000</f>
        <v>536801</v>
      </c>
      <c r="D22" s="199">
        <v>-1.89E-3</v>
      </c>
      <c r="E22" s="208">
        <f t="shared" si="5"/>
        <v>-1015</v>
      </c>
      <c r="F22" s="138">
        <f t="shared" si="3"/>
        <v>535786</v>
      </c>
      <c r="G22" s="138">
        <f t="shared" si="4"/>
        <v>535786</v>
      </c>
    </row>
    <row r="23" spans="1:7">
      <c r="A23" s="185"/>
      <c r="B23" s="158" t="s">
        <v>10</v>
      </c>
      <c r="C23" s="129">
        <f>417061000/1000</f>
        <v>417061</v>
      </c>
      <c r="D23" s="199">
        <v>-1.89E-3</v>
      </c>
      <c r="E23" s="208">
        <f t="shared" si="5"/>
        <v>-788</v>
      </c>
      <c r="F23" s="138">
        <f t="shared" si="3"/>
        <v>416273</v>
      </c>
      <c r="G23" s="138">
        <f t="shared" si="4"/>
        <v>416273</v>
      </c>
    </row>
    <row r="24" spans="1:7">
      <c r="A24" s="185"/>
      <c r="B24" s="159" t="s">
        <v>69</v>
      </c>
      <c r="C24" s="129"/>
      <c r="D24" s="199"/>
      <c r="E24" s="208"/>
      <c r="F24" s="138"/>
      <c r="G24" s="138"/>
    </row>
    <row r="25" spans="1:7">
      <c r="A25" s="185"/>
      <c r="B25" s="160" t="s">
        <v>70</v>
      </c>
      <c r="C25" s="138">
        <f>1483068000/1000</f>
        <v>1483068</v>
      </c>
      <c r="D25" s="199">
        <v>-1.89E-3</v>
      </c>
      <c r="E25" s="208">
        <f>ROUND(C25*D25,0)</f>
        <v>-2803</v>
      </c>
      <c r="F25" s="138">
        <f t="shared" si="3"/>
        <v>1480265</v>
      </c>
      <c r="G25" s="138">
        <f t="shared" ref="G25:G39" si="6">F25</f>
        <v>1480265</v>
      </c>
    </row>
    <row r="26" spans="1:7">
      <c r="A26" s="185"/>
      <c r="B26" s="156" t="s">
        <v>71</v>
      </c>
      <c r="C26" s="210">
        <v>0</v>
      </c>
      <c r="D26" s="199">
        <v>-1.89E-3</v>
      </c>
      <c r="E26" s="177">
        <f>ROUND(C26*D26,0)</f>
        <v>0</v>
      </c>
      <c r="F26" s="210">
        <f t="shared" si="3"/>
        <v>0</v>
      </c>
      <c r="G26" s="210">
        <f t="shared" si="6"/>
        <v>0</v>
      </c>
    </row>
    <row r="27" spans="1:7">
      <c r="A27" s="185"/>
      <c r="B27" s="161" t="s">
        <v>72</v>
      </c>
      <c r="C27" s="129">
        <f>SUM(C25:C26)</f>
        <v>1483068</v>
      </c>
      <c r="D27" s="199"/>
      <c r="E27" s="208">
        <f>SUM(E25:E26)</f>
        <v>-2803</v>
      </c>
      <c r="F27" s="138">
        <f>SUM(F25:F26)</f>
        <v>1480265</v>
      </c>
      <c r="G27" s="138">
        <f t="shared" si="6"/>
        <v>1480265</v>
      </c>
    </row>
    <row r="28" spans="1:7">
      <c r="A28" s="185"/>
      <c r="B28" s="158" t="s">
        <v>11</v>
      </c>
      <c r="C28" s="129">
        <f>1055362000/1000</f>
        <v>1055362</v>
      </c>
      <c r="D28" s="199">
        <v>-1.89E-3</v>
      </c>
      <c r="E28" s="208">
        <f t="shared" ref="E28:E39" si="7">ROUND(C28*D28,0)</f>
        <v>-1995</v>
      </c>
      <c r="F28" s="138">
        <f t="shared" si="3"/>
        <v>1053367</v>
      </c>
      <c r="G28" s="138">
        <f t="shared" si="6"/>
        <v>1053367</v>
      </c>
    </row>
    <row r="29" spans="1:7">
      <c r="A29" s="185"/>
      <c r="B29" s="158" t="s">
        <v>12</v>
      </c>
      <c r="C29" s="129">
        <f>460389000/1000</f>
        <v>460389</v>
      </c>
      <c r="D29" s="199">
        <v>-1.89E-3</v>
      </c>
      <c r="E29" s="208">
        <f t="shared" si="7"/>
        <v>-870</v>
      </c>
      <c r="F29" s="138">
        <f t="shared" si="3"/>
        <v>459519</v>
      </c>
      <c r="G29" s="138">
        <f t="shared" si="6"/>
        <v>459519</v>
      </c>
    </row>
    <row r="30" spans="1:7">
      <c r="A30" s="185"/>
      <c r="B30" s="158" t="s">
        <v>13</v>
      </c>
      <c r="C30" s="129">
        <f>145043000/1000</f>
        <v>145043</v>
      </c>
      <c r="D30" s="199">
        <v>-1.89E-3</v>
      </c>
      <c r="E30" s="208">
        <f t="shared" si="7"/>
        <v>-274</v>
      </c>
      <c r="F30" s="138">
        <f t="shared" si="3"/>
        <v>144769</v>
      </c>
      <c r="G30" s="138">
        <f t="shared" si="6"/>
        <v>144769</v>
      </c>
    </row>
    <row r="31" spans="1:7">
      <c r="A31" s="185"/>
      <c r="B31" s="158" t="s">
        <v>14</v>
      </c>
      <c r="C31" s="129">
        <f>513844000/1000</f>
        <v>513844</v>
      </c>
      <c r="D31" s="199">
        <v>-1.89E-3</v>
      </c>
      <c r="E31" s="208">
        <f t="shared" si="7"/>
        <v>-971</v>
      </c>
      <c r="F31" s="138">
        <f t="shared" si="3"/>
        <v>512873</v>
      </c>
      <c r="G31" s="138">
        <f t="shared" si="6"/>
        <v>512873</v>
      </c>
    </row>
    <row r="32" spans="1:7">
      <c r="A32" s="185"/>
      <c r="B32" s="158" t="s">
        <v>15</v>
      </c>
      <c r="C32" s="129">
        <f>338998000/1000</f>
        <v>338998</v>
      </c>
      <c r="D32" s="199">
        <v>-1.89E-3</v>
      </c>
      <c r="E32" s="208">
        <f t="shared" si="7"/>
        <v>-641</v>
      </c>
      <c r="F32" s="138">
        <f t="shared" si="3"/>
        <v>338357</v>
      </c>
      <c r="G32" s="138">
        <f t="shared" si="6"/>
        <v>338357</v>
      </c>
    </row>
    <row r="33" spans="1:7">
      <c r="A33" s="185"/>
      <c r="B33" s="158" t="s">
        <v>16</v>
      </c>
      <c r="C33" s="129">
        <f>276963000/1000</f>
        <v>276963</v>
      </c>
      <c r="D33" s="199">
        <v>-1.89E-3</v>
      </c>
      <c r="E33" s="208">
        <f t="shared" si="7"/>
        <v>-523</v>
      </c>
      <c r="F33" s="138">
        <f t="shared" si="3"/>
        <v>276440</v>
      </c>
      <c r="G33" s="138">
        <f t="shared" si="6"/>
        <v>276440</v>
      </c>
    </row>
    <row r="34" spans="1:7">
      <c r="A34" s="185"/>
      <c r="B34" s="158" t="s">
        <v>17</v>
      </c>
      <c r="C34" s="208">
        <v>0</v>
      </c>
      <c r="D34" s="199"/>
      <c r="E34" s="208">
        <f t="shared" si="7"/>
        <v>0</v>
      </c>
      <c r="F34" s="215">
        <f t="shared" si="3"/>
        <v>0</v>
      </c>
      <c r="G34" s="215">
        <f t="shared" si="6"/>
        <v>0</v>
      </c>
    </row>
    <row r="35" spans="1:7">
      <c r="A35" s="185"/>
      <c r="B35" s="158" t="s">
        <v>18</v>
      </c>
      <c r="C35" s="129">
        <f>128299000/1000</f>
        <v>128299</v>
      </c>
      <c r="D35" s="199">
        <v>-1.89E-3</v>
      </c>
      <c r="E35" s="208">
        <f t="shared" si="7"/>
        <v>-242</v>
      </c>
      <c r="F35" s="138">
        <f t="shared" si="3"/>
        <v>128057</v>
      </c>
      <c r="G35" s="138">
        <f t="shared" si="6"/>
        <v>128057</v>
      </c>
    </row>
    <row r="36" spans="1:7">
      <c r="A36" s="185"/>
      <c r="B36" s="158" t="s">
        <v>93</v>
      </c>
      <c r="C36" s="179">
        <f>(576456000/1000)-(C37)</f>
        <v>566456</v>
      </c>
      <c r="D36" s="199">
        <v>-1.89E-3</v>
      </c>
      <c r="E36" s="209">
        <f t="shared" si="7"/>
        <v>-1071</v>
      </c>
      <c r="F36" s="216">
        <f t="shared" si="3"/>
        <v>565385</v>
      </c>
      <c r="G36" s="216">
        <f t="shared" si="6"/>
        <v>565385</v>
      </c>
    </row>
    <row r="37" spans="1:7">
      <c r="A37" s="185"/>
      <c r="B37" s="160" t="s">
        <v>95</v>
      </c>
      <c r="C37" s="210">
        <f>10000000/1000</f>
        <v>10000</v>
      </c>
      <c r="D37" s="199">
        <v>-1.89E-3</v>
      </c>
      <c r="E37" s="177">
        <f t="shared" si="7"/>
        <v>-19</v>
      </c>
      <c r="F37" s="210">
        <f t="shared" si="3"/>
        <v>9981</v>
      </c>
      <c r="G37" s="210">
        <f t="shared" si="6"/>
        <v>9981</v>
      </c>
    </row>
    <row r="38" spans="1:7">
      <c r="A38" s="185"/>
      <c r="B38" s="157" t="s">
        <v>97</v>
      </c>
      <c r="C38" s="179">
        <f>SUM(C36:C37)</f>
        <v>576456</v>
      </c>
      <c r="D38" s="199"/>
      <c r="E38" s="208">
        <f>SUM(E36:E37)</f>
        <v>-1090</v>
      </c>
      <c r="F38" s="216">
        <f>SUM(F36:F37)</f>
        <v>575366</v>
      </c>
      <c r="G38" s="216">
        <f t="shared" si="6"/>
        <v>575366</v>
      </c>
    </row>
    <row r="39" spans="1:7">
      <c r="A39" s="185"/>
      <c r="B39" s="158" t="s">
        <v>19</v>
      </c>
      <c r="C39" s="129">
        <f>69754000/1000</f>
        <v>69754</v>
      </c>
      <c r="D39" s="199">
        <v>-1.89E-3</v>
      </c>
      <c r="E39" s="208">
        <f t="shared" si="7"/>
        <v>-132</v>
      </c>
      <c r="F39" s="138">
        <f t="shared" si="3"/>
        <v>69622</v>
      </c>
      <c r="G39" s="138">
        <f t="shared" si="6"/>
        <v>69622</v>
      </c>
    </row>
    <row r="40" spans="1:7">
      <c r="A40" s="185"/>
      <c r="B40" s="159" t="s">
        <v>87</v>
      </c>
      <c r="C40" s="129"/>
      <c r="D40" s="199"/>
      <c r="E40" s="208"/>
      <c r="F40" s="138"/>
      <c r="G40" s="138"/>
    </row>
    <row r="41" spans="1:7">
      <c r="A41" s="185"/>
      <c r="B41" s="156" t="s">
        <v>78</v>
      </c>
      <c r="C41" s="129">
        <f>(338278000-4000000)/1000</f>
        <v>334278</v>
      </c>
      <c r="D41" s="199">
        <v>-1.89E-3</v>
      </c>
      <c r="E41" s="208">
        <f t="shared" ref="E41:E42" si="8">ROUND(C41*D41,0)</f>
        <v>-632</v>
      </c>
      <c r="F41" s="138">
        <f t="shared" ref="F41:F42" si="9">C41+E41</f>
        <v>333646</v>
      </c>
      <c r="G41" s="138">
        <f>F41</f>
        <v>333646</v>
      </c>
    </row>
    <row r="42" spans="1:7">
      <c r="A42" s="185"/>
      <c r="B42" s="156" t="s">
        <v>79</v>
      </c>
      <c r="C42" s="176">
        <f>4000000/1000</f>
        <v>4000</v>
      </c>
      <c r="D42" s="199">
        <v>-1.89E-3</v>
      </c>
      <c r="E42" s="177">
        <f t="shared" si="8"/>
        <v>-8</v>
      </c>
      <c r="F42" s="210">
        <f t="shared" si="9"/>
        <v>3992</v>
      </c>
      <c r="G42" s="210">
        <f>F42</f>
        <v>3992</v>
      </c>
    </row>
    <row r="43" spans="1:7">
      <c r="A43" s="185"/>
      <c r="B43" s="161" t="s">
        <v>80</v>
      </c>
      <c r="C43" s="129">
        <f>SUM(C41:C42)</f>
        <v>338278</v>
      </c>
      <c r="D43" s="199"/>
      <c r="E43" s="208">
        <f>SUM(E41:E42)</f>
        <v>-640</v>
      </c>
      <c r="F43" s="138">
        <f>SUM(F41:F42)</f>
        <v>337638</v>
      </c>
      <c r="G43" s="138">
        <f>SUM(G41:G42)</f>
        <v>337638</v>
      </c>
    </row>
    <row r="44" spans="1:7">
      <c r="A44" s="185"/>
      <c r="B44" s="159" t="s">
        <v>86</v>
      </c>
      <c r="C44" s="129"/>
      <c r="D44" s="199"/>
      <c r="E44" s="208"/>
      <c r="F44" s="138"/>
      <c r="G44" s="138"/>
    </row>
    <row r="45" spans="1:7">
      <c r="A45" s="185"/>
      <c r="B45" s="160" t="s">
        <v>73</v>
      </c>
      <c r="C45" s="129">
        <f>(1461880000/1000)-C46-C47-C48</f>
        <v>714038</v>
      </c>
      <c r="D45" s="199">
        <v>-1.89E-3</v>
      </c>
      <c r="E45" s="208">
        <f t="shared" ref="E45:E48" si="10">ROUND(C45*D45,0)</f>
        <v>-1350</v>
      </c>
      <c r="F45" s="138">
        <f t="shared" ref="F45:F59" si="11">C45+E45</f>
        <v>712688</v>
      </c>
      <c r="G45" s="138">
        <f t="shared" ref="G45:G50" si="12">F45</f>
        <v>712688</v>
      </c>
    </row>
    <row r="46" spans="1:7">
      <c r="A46" s="185"/>
      <c r="B46" s="160" t="s">
        <v>74</v>
      </c>
      <c r="C46" s="129">
        <f>545962000/1000</f>
        <v>545962</v>
      </c>
      <c r="D46" s="199">
        <v>-1.89E-3</v>
      </c>
      <c r="E46" s="208">
        <f t="shared" si="10"/>
        <v>-1032</v>
      </c>
      <c r="F46" s="138">
        <f t="shared" si="11"/>
        <v>544930</v>
      </c>
      <c r="G46" s="138">
        <f t="shared" si="12"/>
        <v>544930</v>
      </c>
    </row>
    <row r="47" spans="1:7">
      <c r="A47" s="185"/>
      <c r="B47" s="160" t="s">
        <v>75</v>
      </c>
      <c r="C47" s="129">
        <f>193880000/1000</f>
        <v>193880</v>
      </c>
      <c r="D47" s="199">
        <v>-1.89E-3</v>
      </c>
      <c r="E47" s="208">
        <f t="shared" si="10"/>
        <v>-366</v>
      </c>
      <c r="F47" s="138">
        <f t="shared" si="11"/>
        <v>193514</v>
      </c>
      <c r="G47" s="138">
        <f t="shared" si="12"/>
        <v>193514</v>
      </c>
    </row>
    <row r="48" spans="1:7">
      <c r="A48" s="185"/>
      <c r="B48" s="160" t="s">
        <v>76</v>
      </c>
      <c r="C48" s="176">
        <f>8000000/1000</f>
        <v>8000</v>
      </c>
      <c r="D48" s="199">
        <v>-1.89E-3</v>
      </c>
      <c r="E48" s="177">
        <f t="shared" si="10"/>
        <v>-15</v>
      </c>
      <c r="F48" s="210">
        <f t="shared" si="11"/>
        <v>7985</v>
      </c>
      <c r="G48" s="210">
        <f t="shared" si="12"/>
        <v>7985</v>
      </c>
    </row>
    <row r="49" spans="1:7">
      <c r="A49" s="185"/>
      <c r="B49" s="161" t="s">
        <v>77</v>
      </c>
      <c r="C49" s="129">
        <f>SUM(C45:C48)</f>
        <v>1461880</v>
      </c>
      <c r="D49" s="199"/>
      <c r="E49" s="208">
        <f>SUM(E45:E48)</f>
        <v>-2763</v>
      </c>
      <c r="F49" s="138">
        <f>SUM(F45:F48)</f>
        <v>1459117</v>
      </c>
      <c r="G49" s="138">
        <f t="shared" si="12"/>
        <v>1459117</v>
      </c>
    </row>
    <row r="50" spans="1:7">
      <c r="A50" s="186"/>
      <c r="B50" s="158" t="s">
        <v>63</v>
      </c>
      <c r="C50" s="129">
        <f>125581000/1000</f>
        <v>125581</v>
      </c>
      <c r="D50" s="199">
        <v>-1.89E-3</v>
      </c>
      <c r="E50" s="208">
        <f>ROUND(C50*D50,0)</f>
        <v>-237</v>
      </c>
      <c r="F50" s="138">
        <f t="shared" si="11"/>
        <v>125344</v>
      </c>
      <c r="G50" s="138">
        <f t="shared" si="12"/>
        <v>125344</v>
      </c>
    </row>
    <row r="51" spans="1:7">
      <c r="A51" s="185"/>
      <c r="B51" s="162" t="s">
        <v>40</v>
      </c>
      <c r="C51" s="132">
        <f>SUM(C8,C9:C12,C16,C17:C23,C27,C28:C35,C43,C49,C50)+C39+C38</f>
        <v>30689990</v>
      </c>
      <c r="D51" s="198">
        <v>-1.89E-3</v>
      </c>
      <c r="E51" s="134">
        <f>SUM(E8,E9:E12,E16,E17:E23,E27,E28:E35,E43,E49,E50)+E39+E38</f>
        <v>-58004</v>
      </c>
      <c r="F51" s="217">
        <f>SUM(F8,F9:F12,F16,F17:F23,F27,F28:F35,F43,F49,F50)+F39+F38</f>
        <v>30631986</v>
      </c>
      <c r="G51" s="217">
        <f>SUM(G8,G9:G12,G16,G17:G23,G27,G28:G35,G43,G49,G50)+G39+G38</f>
        <v>30631986</v>
      </c>
    </row>
    <row r="52" spans="1:7">
      <c r="A52" s="185"/>
      <c r="B52" s="163"/>
      <c r="C52" s="136"/>
      <c r="D52" s="199"/>
      <c r="E52" s="181"/>
      <c r="F52" s="218"/>
      <c r="G52" s="218"/>
    </row>
    <row r="53" spans="1:7">
      <c r="A53" s="185"/>
      <c r="B53" s="158" t="s">
        <v>30</v>
      </c>
      <c r="C53" s="138">
        <f>79054000/1000</f>
        <v>79054</v>
      </c>
      <c r="D53" s="211">
        <v>-1.6000000000000001E-3</v>
      </c>
      <c r="E53" s="181">
        <f>ROUND(C53*D53,0)</f>
        <v>-126</v>
      </c>
      <c r="F53" s="138">
        <f t="shared" si="11"/>
        <v>78928</v>
      </c>
      <c r="G53" s="138">
        <f>F53</f>
        <v>78928</v>
      </c>
    </row>
    <row r="54" spans="1:7">
      <c r="A54" s="185"/>
      <c r="B54" s="164" t="s">
        <v>35</v>
      </c>
      <c r="C54" s="132">
        <f>C51+C53</f>
        <v>30769044</v>
      </c>
      <c r="D54" s="200"/>
      <c r="E54" s="134">
        <f>E51+E53</f>
        <v>-58130</v>
      </c>
      <c r="F54" s="217">
        <f>F51+F53</f>
        <v>30710914</v>
      </c>
      <c r="G54" s="217">
        <f>G51+G53</f>
        <v>30710914</v>
      </c>
    </row>
    <row r="55" spans="1:7">
      <c r="A55" s="185"/>
      <c r="B55" s="163"/>
      <c r="C55" s="138"/>
      <c r="D55" s="199"/>
      <c r="E55" s="181"/>
      <c r="F55" s="138"/>
      <c r="G55" s="138"/>
    </row>
    <row r="56" spans="1:7">
      <c r="A56" s="186"/>
      <c r="B56" s="158" t="s">
        <v>92</v>
      </c>
      <c r="C56" s="138">
        <f>150000000/1000</f>
        <v>150000</v>
      </c>
      <c r="D56" s="201">
        <v>0</v>
      </c>
      <c r="E56" s="208">
        <f>ROUND(C56*D56,0)</f>
        <v>0</v>
      </c>
      <c r="F56" s="138">
        <f t="shared" si="11"/>
        <v>150000</v>
      </c>
      <c r="G56" s="138">
        <f>F56</f>
        <v>150000</v>
      </c>
    </row>
    <row r="57" spans="1:7">
      <c r="A57" s="185"/>
      <c r="B57" s="165" t="s">
        <v>36</v>
      </c>
      <c r="C57" s="132">
        <f>C54+C56</f>
        <v>30919044</v>
      </c>
      <c r="D57" s="171"/>
      <c r="E57" s="135">
        <f>E54+E56</f>
        <v>-58130</v>
      </c>
      <c r="F57" s="217">
        <f>F54+F56</f>
        <v>30860914</v>
      </c>
      <c r="G57" s="217">
        <f>G54+G56</f>
        <v>30860914</v>
      </c>
    </row>
    <row r="58" spans="1:7">
      <c r="A58" s="185"/>
      <c r="B58" s="163"/>
      <c r="C58" s="138"/>
      <c r="D58" s="170"/>
      <c r="E58" s="180"/>
      <c r="F58" s="138"/>
      <c r="G58" s="138"/>
    </row>
    <row r="59" spans="1:7">
      <c r="A59" s="185"/>
      <c r="B59" s="158" t="s">
        <v>23</v>
      </c>
      <c r="C59" s="138">
        <f>8200000/1000</f>
        <v>8200</v>
      </c>
      <c r="D59" s="170">
        <v>0</v>
      </c>
      <c r="E59" s="208">
        <f>ROUND(C59*D59,0)</f>
        <v>0</v>
      </c>
      <c r="F59" s="138">
        <f t="shared" si="11"/>
        <v>8200</v>
      </c>
      <c r="G59" s="138">
        <f>F59</f>
        <v>8200</v>
      </c>
    </row>
    <row r="60" spans="1:7">
      <c r="A60" s="185"/>
      <c r="B60" s="163"/>
      <c r="C60" s="136"/>
      <c r="D60" s="137"/>
      <c r="E60" s="180"/>
      <c r="F60" s="218"/>
      <c r="G60" s="218"/>
    </row>
    <row r="61" spans="1:7" s="37" customFormat="1">
      <c r="A61" s="187"/>
      <c r="B61" s="165" t="s">
        <v>37</v>
      </c>
      <c r="C61" s="132">
        <f>C57+C59</f>
        <v>30927244</v>
      </c>
      <c r="D61" s="184"/>
      <c r="E61" s="135">
        <f>E57+E59</f>
        <v>-58130</v>
      </c>
      <c r="F61" s="217">
        <f>F57+F59</f>
        <v>30869114</v>
      </c>
      <c r="G61" s="217">
        <f>G57+G59</f>
        <v>30869114</v>
      </c>
    </row>
    <row r="62" spans="1:7" s="123" customFormat="1" ht="12">
      <c r="A62" s="212"/>
      <c r="B62" s="166"/>
      <c r="C62" s="120"/>
      <c r="D62" s="121"/>
      <c r="E62" s="121"/>
      <c r="F62" s="206"/>
      <c r="G62" s="206"/>
    </row>
    <row r="63" spans="1:7" s="123" customFormat="1" ht="14.25">
      <c r="A63" s="220">
        <v>1</v>
      </c>
      <c r="B63" s="219" t="s">
        <v>106</v>
      </c>
      <c r="C63" s="120"/>
      <c r="D63" s="121"/>
      <c r="E63" s="121"/>
      <c r="F63" s="206"/>
      <c r="G63" s="206"/>
    </row>
    <row r="64" spans="1:7" s="123" customFormat="1" ht="12">
      <c r="A64" s="185"/>
      <c r="B64" s="169" t="s">
        <v>105</v>
      </c>
      <c r="C64" s="120"/>
      <c r="D64" s="121"/>
      <c r="E64" s="121"/>
      <c r="F64" s="206"/>
      <c r="G64" s="206"/>
    </row>
    <row r="65" spans="1:7" s="123" customFormat="1" ht="12">
      <c r="A65" s="191"/>
      <c r="B65" s="192"/>
      <c r="C65" s="193"/>
      <c r="D65" s="195"/>
      <c r="E65" s="195"/>
      <c r="F65" s="207"/>
      <c r="G65" s="207"/>
    </row>
    <row r="66" spans="1:7">
      <c r="C66" s="113"/>
      <c r="D66" s="115"/>
      <c r="E66" s="113"/>
      <c r="F66" s="113"/>
      <c r="G66" s="113"/>
    </row>
    <row r="67" spans="1:7">
      <c r="C67" s="113"/>
      <c r="D67" s="115"/>
      <c r="E67" s="113"/>
      <c r="F67" s="113"/>
      <c r="G67" s="113"/>
    </row>
  </sheetData>
  <printOptions horizontalCentered="1"/>
  <pageMargins left="0.45" right="0.45" top="0.75" bottom="0.75" header="0.3" footer="0.3"/>
  <pageSetup scale="68" orientation="portrait" r:id="rId1"/>
  <ignoredErrors>
    <ignoredError sqref="E27:F28 E38:F38 E49:F50 E8: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4"/>
  <sheetViews>
    <sheetView showGridLines="0" zoomScaleNormal="100" workbookViewId="0">
      <pane ySplit="4" topLeftCell="A38" activePane="bottomLeft" state="frozen"/>
      <selection activeCell="B36" sqref="B36"/>
      <selection pane="bottomLeft" activeCell="B36" sqref="B36"/>
    </sheetView>
  </sheetViews>
  <sheetFormatPr defaultRowHeight="15"/>
  <cols>
    <col min="1" max="1" width="1.140625" style="123" customWidth="1"/>
    <col min="2" max="2" width="39.7109375" style="123" customWidth="1"/>
    <col min="3" max="3" width="14.42578125" style="112" hidden="1" customWidth="1"/>
    <col min="4" max="4" width="10.28515625" style="114" hidden="1" customWidth="1"/>
    <col min="5" max="5" width="8.5703125" style="112" hidden="1" customWidth="1"/>
    <col min="6" max="6" width="8.28515625" style="112" hidden="1" customWidth="1"/>
    <col min="7" max="7" width="15.42578125" style="112" hidden="1" customWidth="1"/>
    <col min="8" max="8" width="11" style="116" hidden="1" customWidth="1"/>
    <col min="9" max="9" width="8.5703125" style="112" hidden="1" customWidth="1"/>
    <col min="10" max="10" width="13.5703125" style="112" bestFit="1" customWidth="1"/>
    <col min="11" max="11" width="14.7109375" style="112" bestFit="1" customWidth="1"/>
    <col min="12" max="12" width="11" style="116" bestFit="1" customWidth="1"/>
    <col min="13" max="13" width="11" style="112" bestFit="1" customWidth="1"/>
    <col min="14" max="14" width="15.5703125" style="112" customWidth="1"/>
    <col min="15" max="15" width="11" style="116" bestFit="1" customWidth="1"/>
    <col min="16" max="16" width="11" style="112" bestFit="1" customWidth="1"/>
    <col min="17" max="17" width="15.5703125" style="112" customWidth="1"/>
    <col min="18" max="16384" width="9.140625" style="112"/>
  </cols>
  <sheetData>
    <row r="1" spans="1:17" ht="27.75" customHeight="1">
      <c r="B1" s="227" t="s">
        <v>38</v>
      </c>
      <c r="C1" s="227"/>
      <c r="D1" s="227"/>
      <c r="E1" s="227"/>
      <c r="F1" s="227"/>
      <c r="G1" s="227"/>
      <c r="H1" s="227"/>
      <c r="I1" s="227"/>
      <c r="J1" s="227"/>
      <c r="L1" s="112"/>
      <c r="O1" s="112"/>
    </row>
    <row r="2" spans="1:17" ht="26.25" customHeight="1">
      <c r="B2" s="225" t="s">
        <v>103</v>
      </c>
      <c r="C2" s="225"/>
      <c r="D2" s="225"/>
      <c r="E2" s="225"/>
      <c r="F2" s="225"/>
      <c r="G2" s="225"/>
      <c r="H2" s="225"/>
      <c r="I2" s="225"/>
      <c r="J2" s="225"/>
      <c r="L2" s="112"/>
      <c r="O2" s="112"/>
    </row>
    <row r="3" spans="1:17" ht="24" customHeight="1">
      <c r="B3" s="226" t="s">
        <v>29</v>
      </c>
      <c r="C3" s="226"/>
      <c r="D3" s="226"/>
      <c r="E3" s="226"/>
      <c r="F3" s="226"/>
      <c r="G3" s="226"/>
      <c r="H3" s="226"/>
      <c r="I3" s="226"/>
      <c r="J3" s="226"/>
      <c r="L3" s="112"/>
      <c r="O3" s="112"/>
    </row>
    <row r="4" spans="1:17" ht="48">
      <c r="A4" s="197"/>
      <c r="B4" s="196" t="s">
        <v>34</v>
      </c>
      <c r="C4" s="182" t="s">
        <v>22</v>
      </c>
      <c r="D4" s="183" t="s">
        <v>90</v>
      </c>
      <c r="E4" s="182" t="s">
        <v>25</v>
      </c>
      <c r="F4" s="182" t="s">
        <v>24</v>
      </c>
      <c r="G4" s="182" t="s">
        <v>26</v>
      </c>
      <c r="H4" s="182" t="s">
        <v>91</v>
      </c>
      <c r="I4" s="182" t="s">
        <v>28</v>
      </c>
      <c r="J4" s="182" t="s">
        <v>27</v>
      </c>
      <c r="K4" s="182" t="s">
        <v>96</v>
      </c>
      <c r="L4" s="182" t="s">
        <v>99</v>
      </c>
      <c r="M4" s="182" t="s">
        <v>98</v>
      </c>
      <c r="N4" s="182" t="s">
        <v>101</v>
      </c>
      <c r="O4" s="182" t="s">
        <v>100</v>
      </c>
      <c r="P4" s="182" t="s">
        <v>98</v>
      </c>
      <c r="Q4" s="182" t="s">
        <v>102</v>
      </c>
    </row>
    <row r="5" spans="1:17">
      <c r="A5" s="185"/>
      <c r="B5" s="155" t="s">
        <v>61</v>
      </c>
      <c r="C5" s="124"/>
      <c r="D5" s="137"/>
      <c r="E5" s="126"/>
      <c r="F5" s="127"/>
      <c r="G5" s="124"/>
      <c r="H5" s="125"/>
      <c r="I5" s="126"/>
      <c r="J5" s="124"/>
      <c r="K5" s="124"/>
      <c r="L5" s="125"/>
      <c r="M5" s="126"/>
      <c r="N5" s="124"/>
      <c r="O5" s="125"/>
      <c r="P5" s="126"/>
      <c r="Q5" s="124"/>
    </row>
    <row r="6" spans="1:17">
      <c r="A6" s="185"/>
      <c r="B6" s="156" t="s">
        <v>62</v>
      </c>
      <c r="C6" s="124">
        <v>5095468</v>
      </c>
      <c r="D6" s="137">
        <f>C6/($C$51-$C$50)</f>
        <v>0.16484965862593429</v>
      </c>
      <c r="E6" s="208">
        <f>ROUND(D6*$C$63,1)</f>
        <v>-34618.400000000001</v>
      </c>
      <c r="F6" s="172">
        <f>E6/C6</f>
        <v>-6.7939588669774795E-3</v>
      </c>
      <c r="G6" s="124">
        <f>ROUND(SUM(C6:E6),2)</f>
        <v>5060849.76</v>
      </c>
      <c r="H6" s="137">
        <v>-2E-3</v>
      </c>
      <c r="I6" s="208">
        <f>ROUND(G6*H6,1)+0.5</f>
        <v>-10121.200000000001</v>
      </c>
      <c r="J6" s="124">
        <f>ROUND(SUM(I6,G6),0)-1</f>
        <v>5050728</v>
      </c>
      <c r="K6" s="129">
        <f>5081788-8000</f>
        <v>5073788</v>
      </c>
      <c r="L6" s="199">
        <v>-1.89E-3</v>
      </c>
      <c r="M6" s="208">
        <f>ROUND(K6*L6,0)</f>
        <v>-9589</v>
      </c>
      <c r="N6" s="124">
        <f>K6+M6</f>
        <v>5064199</v>
      </c>
      <c r="O6" s="199">
        <v>-1.83E-2</v>
      </c>
      <c r="P6" s="208">
        <f>ROUND(N6*O6,0)</f>
        <v>-92675</v>
      </c>
      <c r="Q6" s="124">
        <f>N6+P6</f>
        <v>4971524</v>
      </c>
    </row>
    <row r="7" spans="1:17" ht="16.5">
      <c r="A7" s="185"/>
      <c r="B7" s="156" t="s">
        <v>63</v>
      </c>
      <c r="C7" s="202">
        <v>7920</v>
      </c>
      <c r="D7" s="137">
        <f>C7/($C$51-$C$50)</f>
        <v>2.5622951538845881E-4</v>
      </c>
      <c r="E7" s="177">
        <v>-55</v>
      </c>
      <c r="F7" s="172">
        <f>E7/C7</f>
        <v>-6.9444444444444441E-3</v>
      </c>
      <c r="G7" s="202">
        <v>7865</v>
      </c>
      <c r="H7" s="137">
        <v>-2E-3</v>
      </c>
      <c r="I7" s="177">
        <v>-16</v>
      </c>
      <c r="J7" s="202">
        <v>7849</v>
      </c>
      <c r="K7" s="202">
        <v>8000</v>
      </c>
      <c r="L7" s="199">
        <v>-1.89E-3</v>
      </c>
      <c r="M7" s="177">
        <f>ROUND(K7*L7,0)</f>
        <v>-15</v>
      </c>
      <c r="N7" s="202">
        <f>K7+M7</f>
        <v>7985</v>
      </c>
      <c r="O7" s="199">
        <v>-1.83E-2</v>
      </c>
      <c r="P7" s="177">
        <f t="shared" ref="P7:P50" si="0">ROUND(N7*O7,0)</f>
        <v>-146</v>
      </c>
      <c r="Q7" s="202">
        <f>N7+P7</f>
        <v>7839</v>
      </c>
    </row>
    <row r="8" spans="1:17">
      <c r="A8" s="185"/>
      <c r="B8" s="157" t="s">
        <v>64</v>
      </c>
      <c r="C8" s="129">
        <f>SUM(C6:C7)</f>
        <v>5103388</v>
      </c>
      <c r="D8" s="137"/>
      <c r="E8" s="208">
        <f>SUM(E6:E7)</f>
        <v>-34673.4</v>
      </c>
      <c r="F8" s="172"/>
      <c r="G8" s="129">
        <f>SUM(G6:G7)</f>
        <v>5068714.76</v>
      </c>
      <c r="H8" s="137"/>
      <c r="I8" s="208">
        <f>SUM(I6:I7)</f>
        <v>-10137.200000000001</v>
      </c>
      <c r="J8" s="129">
        <f>SUM(J6:J7)</f>
        <v>5058577</v>
      </c>
      <c r="K8" s="129">
        <f>SUM(K6:K7)</f>
        <v>5081788</v>
      </c>
      <c r="L8" s="199"/>
      <c r="M8" s="208">
        <f>SUM(M6:M7)</f>
        <v>-9604</v>
      </c>
      <c r="N8" s="129">
        <f>SUM(N6:N7)</f>
        <v>5072184</v>
      </c>
      <c r="O8" s="199"/>
      <c r="P8" s="208">
        <f>SUM(P6:P7)</f>
        <v>-92821</v>
      </c>
      <c r="Q8" s="129">
        <f>SUM(Q6:Q7)</f>
        <v>4979363</v>
      </c>
    </row>
    <row r="9" spans="1:17">
      <c r="A9" s="185"/>
      <c r="B9" s="158" t="s">
        <v>1</v>
      </c>
      <c r="C9" s="129">
        <v>3096916</v>
      </c>
      <c r="D9" s="137">
        <f>C9/($C$51-$C$50)</f>
        <v>0.10019208155034903</v>
      </c>
      <c r="E9" s="208">
        <f>ROUND(D9*$C$63,1)-1</f>
        <v>-21041.3</v>
      </c>
      <c r="F9" s="172">
        <f t="shared" ref="F9:F51" si="1">E9/C9</f>
        <v>-6.7942753371418533E-3</v>
      </c>
      <c r="G9" s="129">
        <f>ROUND(SUM(C9:E9),0)</f>
        <v>3075875</v>
      </c>
      <c r="H9" s="137">
        <v>-2E-3</v>
      </c>
      <c r="I9" s="208">
        <f>ROUND(G9*H9,1)</f>
        <v>-6151.8</v>
      </c>
      <c r="J9" s="129">
        <f>ROUND(SUM(I9,G9),0)</f>
        <v>3069723</v>
      </c>
      <c r="K9" s="129">
        <v>3084851</v>
      </c>
      <c r="L9" s="199">
        <v>-1.89E-3</v>
      </c>
      <c r="M9" s="208">
        <f t="shared" ref="M9:M12" si="2">ROUND(K9*L9,0)</f>
        <v>-5830</v>
      </c>
      <c r="N9" s="129">
        <f t="shared" ref="N9:N12" si="3">K9+M9</f>
        <v>3079021</v>
      </c>
      <c r="O9" s="199">
        <v>-1.83E-2</v>
      </c>
      <c r="P9" s="208">
        <f t="shared" si="0"/>
        <v>-56346</v>
      </c>
      <c r="Q9" s="129">
        <f t="shared" ref="Q9:Q17" si="4">N9+P9</f>
        <v>3022675</v>
      </c>
    </row>
    <row r="10" spans="1:17">
      <c r="A10" s="185"/>
      <c r="B10" s="158" t="s">
        <v>2</v>
      </c>
      <c r="C10" s="129">
        <v>413236</v>
      </c>
      <c r="D10" s="137">
        <f>C10/($C$51-$C$50)</f>
        <v>1.3369098487508229E-2</v>
      </c>
      <c r="E10" s="208">
        <f>ROUND(D10*$C$63,1)</f>
        <v>-2807.5</v>
      </c>
      <c r="F10" s="172">
        <f t="shared" si="1"/>
        <v>-6.7939385726316194E-3</v>
      </c>
      <c r="G10" s="129">
        <f>ROUND(SUM(C10:E10),0)-1</f>
        <v>410428</v>
      </c>
      <c r="H10" s="137">
        <v>-2E-3</v>
      </c>
      <c r="I10" s="208">
        <f>ROUND(G10*H10,1)</f>
        <v>-820.9</v>
      </c>
      <c r="J10" s="129">
        <f>ROUND(SUM(I10,G10),0)+1</f>
        <v>409608</v>
      </c>
      <c r="K10" s="129">
        <v>411488</v>
      </c>
      <c r="L10" s="199">
        <v>-1.89E-3</v>
      </c>
      <c r="M10" s="208">
        <f t="shared" si="2"/>
        <v>-778</v>
      </c>
      <c r="N10" s="129">
        <f t="shared" si="3"/>
        <v>410710</v>
      </c>
      <c r="O10" s="199">
        <v>-1.83E-2</v>
      </c>
      <c r="P10" s="208">
        <f t="shared" si="0"/>
        <v>-7516</v>
      </c>
      <c r="Q10" s="129">
        <f t="shared" si="4"/>
        <v>403194</v>
      </c>
    </row>
    <row r="11" spans="1:17">
      <c r="A11" s="185"/>
      <c r="B11" s="158" t="s">
        <v>45</v>
      </c>
      <c r="C11" s="129">
        <v>1808100</v>
      </c>
      <c r="D11" s="137">
        <f>C11/($C$51-$C$50)</f>
        <v>5.8496033683569745E-2</v>
      </c>
      <c r="E11" s="208">
        <f>ROUND(D11*$C$63,1)</f>
        <v>-12284.2</v>
      </c>
      <c r="F11" s="172">
        <f t="shared" si="1"/>
        <v>-6.7939826337038885E-3</v>
      </c>
      <c r="G11" s="129">
        <f>ROUND(SUM(C11:E11),0)-1</f>
        <v>1795815</v>
      </c>
      <c r="H11" s="137">
        <v>-2E-3</v>
      </c>
      <c r="I11" s="208">
        <f>ROUND(G11*H11,1)</f>
        <v>-3591.6</v>
      </c>
      <c r="J11" s="129">
        <f>ROUND(SUM(I11,G11),0)+1</f>
        <v>1792224</v>
      </c>
      <c r="K11" s="129">
        <v>1800447</v>
      </c>
      <c r="L11" s="199">
        <v>-1.89E-3</v>
      </c>
      <c r="M11" s="208">
        <f t="shared" si="2"/>
        <v>-3403</v>
      </c>
      <c r="N11" s="129">
        <f t="shared" si="3"/>
        <v>1797044</v>
      </c>
      <c r="O11" s="199">
        <v>-1.83E-2</v>
      </c>
      <c r="P11" s="208">
        <f t="shared" si="0"/>
        <v>-32886</v>
      </c>
      <c r="Q11" s="129">
        <f t="shared" si="4"/>
        <v>1764158</v>
      </c>
    </row>
    <row r="12" spans="1:17">
      <c r="A12" s="185"/>
      <c r="B12" s="158" t="s">
        <v>3</v>
      </c>
      <c r="C12" s="129">
        <v>1636371</v>
      </c>
      <c r="D12" s="137">
        <f>C12/($C$51-$C$50)</f>
        <v>5.2940220748197951E-2</v>
      </c>
      <c r="E12" s="208">
        <f>ROUND(D12*$C$63,1)-1</f>
        <v>-11118.4</v>
      </c>
      <c r="F12" s="172">
        <f t="shared" si="1"/>
        <v>-6.7945472023153673E-3</v>
      </c>
      <c r="G12" s="129">
        <f>ROUND(SUM(C12:E12),0)</f>
        <v>1625253</v>
      </c>
      <c r="H12" s="137">
        <v>-2E-3</v>
      </c>
      <c r="I12" s="208">
        <f>ROUND(G12*H12,1)</f>
        <v>-3250.5</v>
      </c>
      <c r="J12" s="129">
        <f>ROUND(SUM(I12,G12),0)</f>
        <v>1622003</v>
      </c>
      <c r="K12" s="129">
        <v>1629445</v>
      </c>
      <c r="L12" s="199">
        <v>-1.89E-3</v>
      </c>
      <c r="M12" s="208">
        <f t="shared" si="2"/>
        <v>-3080</v>
      </c>
      <c r="N12" s="129">
        <f t="shared" si="3"/>
        <v>1626365</v>
      </c>
      <c r="O12" s="199">
        <v>-1.83E-2</v>
      </c>
      <c r="P12" s="208">
        <f t="shared" si="0"/>
        <v>-29762</v>
      </c>
      <c r="Q12" s="129">
        <f t="shared" si="4"/>
        <v>1596603</v>
      </c>
    </row>
    <row r="13" spans="1:17">
      <c r="A13" s="186">
        <v>2</v>
      </c>
      <c r="B13" s="159" t="s">
        <v>65</v>
      </c>
      <c r="C13" s="129"/>
      <c r="D13" s="137"/>
      <c r="E13" s="208"/>
      <c r="F13" s="172"/>
      <c r="G13" s="129"/>
      <c r="H13" s="137"/>
      <c r="I13" s="208"/>
      <c r="J13" s="129"/>
      <c r="K13" s="129"/>
      <c r="L13" s="199"/>
      <c r="M13" s="208"/>
      <c r="N13" s="129"/>
      <c r="O13" s="199"/>
      <c r="P13" s="208"/>
      <c r="Q13" s="129"/>
    </row>
    <row r="14" spans="1:17">
      <c r="A14" s="185"/>
      <c r="B14" s="160" t="s">
        <v>66</v>
      </c>
      <c r="C14" s="129">
        <v>4518275</v>
      </c>
      <c r="D14" s="137">
        <f>C14/($C$51-$C$50)</f>
        <v>0.14617618859113496</v>
      </c>
      <c r="E14" s="208">
        <v>-30632</v>
      </c>
      <c r="F14" s="172">
        <f>E14/C14</f>
        <v>-6.7795784895784339E-3</v>
      </c>
      <c r="G14" s="129">
        <f>ROUND(SUM(C14:E14),0)</f>
        <v>4487643</v>
      </c>
      <c r="H14" s="137">
        <v>-2E-3</v>
      </c>
      <c r="I14" s="208">
        <f>ROUND(G14*H14,1)</f>
        <v>-8975.2999999999993</v>
      </c>
      <c r="J14" s="129">
        <f>ROUND(SUM(I14,G14),0)</f>
        <v>4478668</v>
      </c>
      <c r="K14" s="129">
        <v>4499215</v>
      </c>
      <c r="L14" s="199">
        <v>-1.89E-3</v>
      </c>
      <c r="M14" s="208">
        <f>ROUND(K14*L14,0)</f>
        <v>-8504</v>
      </c>
      <c r="N14" s="129">
        <f t="shared" ref="N14:N17" si="5">K14+M14</f>
        <v>4490711</v>
      </c>
      <c r="O14" s="199">
        <v>-1.83E-2</v>
      </c>
      <c r="P14" s="208">
        <f t="shared" si="0"/>
        <v>-82180</v>
      </c>
      <c r="Q14" s="129">
        <f t="shared" si="4"/>
        <v>4408531</v>
      </c>
    </row>
    <row r="15" spans="1:17" ht="16.5">
      <c r="A15" s="185"/>
      <c r="B15" s="156" t="s">
        <v>67</v>
      </c>
      <c r="C15" s="202">
        <v>300000</v>
      </c>
      <c r="D15" s="137">
        <f>C15/($C$51-$C$50)</f>
        <v>9.7056634616840467E-3</v>
      </c>
      <c r="E15" s="177">
        <v>-2104</v>
      </c>
      <c r="F15" s="172">
        <f>E15/C15</f>
        <v>-7.0133333333333332E-3</v>
      </c>
      <c r="G15" s="202">
        <f>ROUND(SUM(C15:E15),0)</f>
        <v>297896</v>
      </c>
      <c r="H15" s="137">
        <v>-2E-3</v>
      </c>
      <c r="I15" s="177">
        <v>-596</v>
      </c>
      <c r="J15" s="202">
        <f>ROUND(SUM(I15,G15),0)</f>
        <v>297300</v>
      </c>
      <c r="K15" s="202">
        <v>0</v>
      </c>
      <c r="L15" s="199">
        <v>0</v>
      </c>
      <c r="M15" s="177">
        <v>0</v>
      </c>
      <c r="N15" s="202">
        <v>0</v>
      </c>
      <c r="O15" s="199">
        <v>-1.83E-2</v>
      </c>
      <c r="P15" s="177">
        <f t="shared" si="0"/>
        <v>0</v>
      </c>
      <c r="Q15" s="202">
        <f t="shared" si="4"/>
        <v>0</v>
      </c>
    </row>
    <row r="16" spans="1:17">
      <c r="A16" s="185"/>
      <c r="B16" s="161" t="s">
        <v>68</v>
      </c>
      <c r="C16" s="129">
        <f>SUM(C14:C15)</f>
        <v>4818275</v>
      </c>
      <c r="D16" s="137"/>
      <c r="E16" s="208">
        <f>SUM(E14:E15)</f>
        <v>-32736</v>
      </c>
      <c r="F16" s="172"/>
      <c r="G16" s="129">
        <f>SUM(G14:G15)</f>
        <v>4785539</v>
      </c>
      <c r="H16" s="137"/>
      <c r="I16" s="208">
        <f>SUM(I14:I15)</f>
        <v>-9571.2999999999993</v>
      </c>
      <c r="J16" s="129">
        <f>SUM(J14:J15)</f>
        <v>4775968</v>
      </c>
      <c r="K16" s="129">
        <f>SUM(K14:K15)</f>
        <v>4499215</v>
      </c>
      <c r="L16" s="199"/>
      <c r="M16" s="208">
        <f>SUM(M14:M15)</f>
        <v>-8504</v>
      </c>
      <c r="N16" s="129">
        <f>SUM(N14:N15)</f>
        <v>4490711</v>
      </c>
      <c r="O16" s="199"/>
      <c r="P16" s="208">
        <f>SUM(P14:P15)</f>
        <v>-82180</v>
      </c>
      <c r="Q16" s="129">
        <f>SUM(Q14:Q15)</f>
        <v>4408531</v>
      </c>
    </row>
    <row r="17" spans="1:17">
      <c r="A17" s="185"/>
      <c r="B17" s="158" t="s">
        <v>4</v>
      </c>
      <c r="C17" s="129">
        <v>2051798</v>
      </c>
      <c r="D17" s="137">
        <f t="shared" ref="D17:D23" si="6">C17/($C$51-$C$50)</f>
        <v>6.6380202931188015E-2</v>
      </c>
      <c r="E17" s="208">
        <f t="shared" ref="E17:E22" si="7">ROUND(D17*$C$63,1)</f>
        <v>-13939.8</v>
      </c>
      <c r="F17" s="172">
        <f t="shared" si="1"/>
        <v>-6.7939436533225976E-3</v>
      </c>
      <c r="G17" s="129">
        <f>ROUND(SUM(C17:E17),0)</f>
        <v>2037858</v>
      </c>
      <c r="H17" s="137">
        <v>-2E-3</v>
      </c>
      <c r="I17" s="208">
        <f t="shared" ref="I17:I23" si="8">ROUND(G17*H17,1)</f>
        <v>-4075.7</v>
      </c>
      <c r="J17" s="129">
        <f t="shared" ref="J17:J23" si="9">ROUND(SUM(I17,G17),0)</f>
        <v>2033782</v>
      </c>
      <c r="K17" s="129">
        <v>2434637</v>
      </c>
      <c r="L17" s="199">
        <v>-1.89E-3</v>
      </c>
      <c r="M17" s="208">
        <f>ROUND(K17*L17,0)</f>
        <v>-4601</v>
      </c>
      <c r="N17" s="129">
        <f t="shared" si="5"/>
        <v>2430036</v>
      </c>
      <c r="O17" s="199">
        <v>-1.83E-2</v>
      </c>
      <c r="P17" s="208">
        <f t="shared" si="0"/>
        <v>-44470</v>
      </c>
      <c r="Q17" s="129">
        <f t="shared" si="4"/>
        <v>2385566</v>
      </c>
    </row>
    <row r="18" spans="1:17">
      <c r="A18" s="185"/>
      <c r="B18" s="158" t="s">
        <v>5</v>
      </c>
      <c r="C18" s="129">
        <v>1329528</v>
      </c>
      <c r="D18" s="137">
        <f t="shared" si="6"/>
        <v>4.3013171102952892E-2</v>
      </c>
      <c r="E18" s="208">
        <f t="shared" si="7"/>
        <v>-9032.7999999999993</v>
      </c>
      <c r="F18" s="172">
        <f t="shared" si="1"/>
        <v>-6.7939900475958376E-3</v>
      </c>
      <c r="G18" s="129">
        <f>ROUND(SUM(C18:E18),0)</f>
        <v>1320495</v>
      </c>
      <c r="H18" s="137">
        <v>-2E-3</v>
      </c>
      <c r="I18" s="208">
        <f t="shared" si="8"/>
        <v>-2641</v>
      </c>
      <c r="J18" s="129">
        <f t="shared" si="9"/>
        <v>1317854</v>
      </c>
      <c r="K18" s="129">
        <v>1323900</v>
      </c>
      <c r="L18" s="199">
        <v>-1.89E-3</v>
      </c>
      <c r="M18" s="208">
        <f t="shared" ref="M18:M23" si="10">ROUND(K18*L18,0)</f>
        <v>-2502</v>
      </c>
      <c r="N18" s="129">
        <f t="shared" ref="N18:N34" si="11">K18+M18</f>
        <v>1321398</v>
      </c>
      <c r="O18" s="199">
        <v>-1.83E-2</v>
      </c>
      <c r="P18" s="208">
        <f t="shared" si="0"/>
        <v>-24182</v>
      </c>
      <c r="Q18" s="129">
        <f t="shared" ref="Q18:Q23" si="12">N18+P18</f>
        <v>1297216</v>
      </c>
    </row>
    <row r="19" spans="1:17">
      <c r="A19" s="185"/>
      <c r="B19" s="158" t="s">
        <v>6</v>
      </c>
      <c r="C19" s="129">
        <v>707036</v>
      </c>
      <c r="D19" s="137">
        <f t="shared" si="6"/>
        <v>2.2874178237650804E-2</v>
      </c>
      <c r="E19" s="208">
        <f t="shared" si="7"/>
        <v>-4803.6000000000004</v>
      </c>
      <c r="F19" s="172">
        <f t="shared" si="1"/>
        <v>-6.7939963453063218E-3</v>
      </c>
      <c r="G19" s="129">
        <f>ROUND(SUM(C19:E19),0)</f>
        <v>702232</v>
      </c>
      <c r="H19" s="137">
        <v>-2E-3</v>
      </c>
      <c r="I19" s="208">
        <f>ROUND(G19*H19,1)+0.5</f>
        <v>-1404</v>
      </c>
      <c r="J19" s="129">
        <f t="shared" si="9"/>
        <v>700828</v>
      </c>
      <c r="K19" s="129">
        <v>704043</v>
      </c>
      <c r="L19" s="199">
        <v>-1.89E-3</v>
      </c>
      <c r="M19" s="208">
        <f t="shared" si="10"/>
        <v>-1331</v>
      </c>
      <c r="N19" s="129">
        <f t="shared" si="11"/>
        <v>702712</v>
      </c>
      <c r="O19" s="199">
        <v>-1.83E-2</v>
      </c>
      <c r="P19" s="208">
        <f t="shared" si="0"/>
        <v>-12860</v>
      </c>
      <c r="Q19" s="129">
        <f t="shared" si="12"/>
        <v>689852</v>
      </c>
    </row>
    <row r="20" spans="1:17">
      <c r="A20" s="185"/>
      <c r="B20" s="158" t="s">
        <v>7</v>
      </c>
      <c r="C20" s="129">
        <v>689781</v>
      </c>
      <c r="D20" s="137">
        <f t="shared" si="6"/>
        <v>2.2315940827546277E-2</v>
      </c>
      <c r="E20" s="208">
        <f t="shared" si="7"/>
        <v>-4686.3</v>
      </c>
      <c r="F20" s="172">
        <f t="shared" si="1"/>
        <v>-6.7938954537744593E-3</v>
      </c>
      <c r="G20" s="129">
        <f>ROUND(SUM(C20:E20),0)</f>
        <v>685095</v>
      </c>
      <c r="H20" s="137">
        <v>-2E-3</v>
      </c>
      <c r="I20" s="208">
        <f>ROUND(G20*H20,1)-1</f>
        <v>-1371.2</v>
      </c>
      <c r="J20" s="129">
        <f t="shared" si="9"/>
        <v>683724</v>
      </c>
      <c r="K20" s="129">
        <v>686869</v>
      </c>
      <c r="L20" s="199">
        <v>-1.89E-3</v>
      </c>
      <c r="M20" s="208">
        <f t="shared" si="10"/>
        <v>-1298</v>
      </c>
      <c r="N20" s="129">
        <f t="shared" si="11"/>
        <v>685571</v>
      </c>
      <c r="O20" s="199">
        <v>-1.83E-2</v>
      </c>
      <c r="P20" s="208">
        <f t="shared" si="0"/>
        <v>-12546</v>
      </c>
      <c r="Q20" s="129">
        <f t="shared" si="12"/>
        <v>673025</v>
      </c>
    </row>
    <row r="21" spans="1:17">
      <c r="A21" s="185"/>
      <c r="B21" s="158" t="s">
        <v>8</v>
      </c>
      <c r="C21" s="129">
        <v>1110229</v>
      </c>
      <c r="D21" s="137">
        <f t="shared" si="6"/>
        <v>3.5918363464673392E-2</v>
      </c>
      <c r="E21" s="208">
        <f t="shared" si="7"/>
        <v>-7542.9</v>
      </c>
      <c r="F21" s="172">
        <f t="shared" si="1"/>
        <v>-6.7940037595847344E-3</v>
      </c>
      <c r="G21" s="129">
        <f>ROUND(SUM(C21:E21),0)</f>
        <v>1102686</v>
      </c>
      <c r="H21" s="137">
        <v>-2E-3</v>
      </c>
      <c r="I21" s="208">
        <f t="shared" si="8"/>
        <v>-2205.4</v>
      </c>
      <c r="J21" s="129">
        <f t="shared" si="9"/>
        <v>1100481</v>
      </c>
      <c r="K21" s="129">
        <v>1105530</v>
      </c>
      <c r="L21" s="199">
        <v>-1.89E-3</v>
      </c>
      <c r="M21" s="208">
        <f t="shared" si="10"/>
        <v>-2089</v>
      </c>
      <c r="N21" s="129">
        <f t="shared" si="11"/>
        <v>1103441</v>
      </c>
      <c r="O21" s="199">
        <v>-1.83E-2</v>
      </c>
      <c r="P21" s="208">
        <f t="shared" si="0"/>
        <v>-20193</v>
      </c>
      <c r="Q21" s="129">
        <f t="shared" si="12"/>
        <v>1083248</v>
      </c>
    </row>
    <row r="22" spans="1:17">
      <c r="A22" s="185"/>
      <c r="B22" s="158" t="s">
        <v>9</v>
      </c>
      <c r="C22" s="129">
        <v>539082</v>
      </c>
      <c r="D22" s="137">
        <f t="shared" si="6"/>
        <v>1.744049490083853E-2</v>
      </c>
      <c r="E22" s="208">
        <f t="shared" si="7"/>
        <v>-3662.5</v>
      </c>
      <c r="F22" s="172">
        <f t="shared" si="1"/>
        <v>-6.793957134536119E-3</v>
      </c>
      <c r="G22" s="129">
        <f>ROUND(SUM(C22:E22),0)-1</f>
        <v>535419</v>
      </c>
      <c r="H22" s="137">
        <v>-2E-3</v>
      </c>
      <c r="I22" s="208">
        <f t="shared" si="8"/>
        <v>-1070.8</v>
      </c>
      <c r="J22" s="129">
        <f>ROUND(SUM(I22,G22),0)+1</f>
        <v>534349</v>
      </c>
      <c r="K22" s="129">
        <v>536801</v>
      </c>
      <c r="L22" s="199">
        <v>-1.89E-3</v>
      </c>
      <c r="M22" s="208">
        <f t="shared" si="10"/>
        <v>-1015</v>
      </c>
      <c r="N22" s="129">
        <f t="shared" si="11"/>
        <v>535786</v>
      </c>
      <c r="O22" s="199">
        <v>-1.83E-2</v>
      </c>
      <c r="P22" s="208">
        <f t="shared" si="0"/>
        <v>-9805</v>
      </c>
      <c r="Q22" s="129">
        <f t="shared" si="12"/>
        <v>525981</v>
      </c>
    </row>
    <row r="23" spans="1:17">
      <c r="A23" s="185"/>
      <c r="B23" s="158" t="s">
        <v>10</v>
      </c>
      <c r="C23" s="129">
        <v>418833</v>
      </c>
      <c r="D23" s="137">
        <f t="shared" si="6"/>
        <v>1.3550173815491715E-2</v>
      </c>
      <c r="E23" s="208">
        <f>ROUND(D23*$C$63,1)-0.4</f>
        <v>-2845.9</v>
      </c>
      <c r="F23" s="172">
        <f t="shared" si="1"/>
        <v>-6.7948323078649486E-3</v>
      </c>
      <c r="G23" s="129">
        <f>ROUND(SUM(C23:E23),0)</f>
        <v>415987</v>
      </c>
      <c r="H23" s="137">
        <v>-2E-3</v>
      </c>
      <c r="I23" s="208">
        <f t="shared" si="8"/>
        <v>-832</v>
      </c>
      <c r="J23" s="129">
        <f t="shared" si="9"/>
        <v>415155</v>
      </c>
      <c r="K23" s="129">
        <v>417061</v>
      </c>
      <c r="L23" s="199">
        <v>-1.89E-3</v>
      </c>
      <c r="M23" s="208">
        <f t="shared" si="10"/>
        <v>-788</v>
      </c>
      <c r="N23" s="129">
        <f t="shared" si="11"/>
        <v>416273</v>
      </c>
      <c r="O23" s="199">
        <v>-1.83E-2</v>
      </c>
      <c r="P23" s="208">
        <f t="shared" si="0"/>
        <v>-7618</v>
      </c>
      <c r="Q23" s="129">
        <f t="shared" si="12"/>
        <v>408655</v>
      </c>
    </row>
    <row r="24" spans="1:17">
      <c r="A24" s="185"/>
      <c r="B24" s="159" t="s">
        <v>69</v>
      </c>
      <c r="C24" s="129"/>
      <c r="D24" s="137"/>
      <c r="E24" s="208"/>
      <c r="F24" s="172"/>
      <c r="G24" s="129"/>
      <c r="H24" s="137"/>
      <c r="I24" s="208"/>
      <c r="J24" s="129"/>
      <c r="K24" s="129"/>
      <c r="L24" s="199"/>
      <c r="M24" s="208"/>
      <c r="N24" s="129"/>
      <c r="O24" s="199"/>
      <c r="P24" s="208"/>
      <c r="Q24" s="129"/>
    </row>
    <row r="25" spans="1:17">
      <c r="A25" s="185"/>
      <c r="B25" s="160" t="s">
        <v>70</v>
      </c>
      <c r="C25" s="129">
        <v>1489372</v>
      </c>
      <c r="D25" s="137">
        <f>C25/($C$51-$C$50)</f>
        <v>4.8184478004184308E-2</v>
      </c>
      <c r="E25" s="208">
        <f>ROUND(D25*$C$63,1)-0.4</f>
        <v>-10119.1</v>
      </c>
      <c r="F25" s="172">
        <f>E25/C25</f>
        <v>-6.7942058800622013E-3</v>
      </c>
      <c r="G25" s="129">
        <f>ROUND(SUM(C25:E25),0)</f>
        <v>1479253</v>
      </c>
      <c r="H25" s="137">
        <v>-2E-3</v>
      </c>
      <c r="I25" s="208">
        <f>ROUND(G25*H25,1)-0.4</f>
        <v>-2958.9</v>
      </c>
      <c r="J25" s="129">
        <f>ROUND(SUM(I25,G25),0)</f>
        <v>1476294</v>
      </c>
      <c r="K25" s="138">
        <v>1483068</v>
      </c>
      <c r="L25" s="199">
        <v>-1.89E-3</v>
      </c>
      <c r="M25" s="208">
        <f>ROUND(K25*L25,0)</f>
        <v>-2803</v>
      </c>
      <c r="N25" s="129">
        <f t="shared" si="11"/>
        <v>1480265</v>
      </c>
      <c r="O25" s="199">
        <v>-1.83E-2</v>
      </c>
      <c r="P25" s="208">
        <f t="shared" si="0"/>
        <v>-27089</v>
      </c>
      <c r="Q25" s="129">
        <f t="shared" ref="Q25:Q42" si="13">N25+P25</f>
        <v>1453176</v>
      </c>
    </row>
    <row r="26" spans="1:17">
      <c r="A26" s="185"/>
      <c r="B26" s="156" t="s">
        <v>71</v>
      </c>
      <c r="C26" s="176">
        <v>1000</v>
      </c>
      <c r="D26" s="137">
        <f>C26/($C$51-$C$50)</f>
        <v>3.2352211538946819E-5</v>
      </c>
      <c r="E26" s="177">
        <v>0</v>
      </c>
      <c r="F26" s="172">
        <f>E26/C26</f>
        <v>0</v>
      </c>
      <c r="G26" s="176">
        <f>ROUND(SUM(C26:E26),0)</f>
        <v>1000</v>
      </c>
      <c r="H26" s="137">
        <v>-2E-3</v>
      </c>
      <c r="I26" s="177">
        <v>-2</v>
      </c>
      <c r="J26" s="176">
        <f>ROUND(SUM(I26,G26),0)</f>
        <v>998</v>
      </c>
      <c r="K26" s="210">
        <v>0</v>
      </c>
      <c r="L26" s="199">
        <v>-1.89E-3</v>
      </c>
      <c r="M26" s="177">
        <f>ROUND(K26*L26,0)</f>
        <v>0</v>
      </c>
      <c r="N26" s="176">
        <f t="shared" si="11"/>
        <v>0</v>
      </c>
      <c r="O26" s="199">
        <v>-1.83E-2</v>
      </c>
      <c r="P26" s="177">
        <f t="shared" si="0"/>
        <v>0</v>
      </c>
      <c r="Q26" s="176">
        <f t="shared" si="13"/>
        <v>0</v>
      </c>
    </row>
    <row r="27" spans="1:17">
      <c r="A27" s="185"/>
      <c r="B27" s="161" t="s">
        <v>72</v>
      </c>
      <c r="C27" s="129">
        <f>SUM(C25:C26)</f>
        <v>1490372</v>
      </c>
      <c r="D27" s="137"/>
      <c r="E27" s="208">
        <f>SUM(E25:E26)</f>
        <v>-10119.1</v>
      </c>
      <c r="F27" s="172"/>
      <c r="G27" s="129">
        <f>SUM(G25:G26)</f>
        <v>1480253</v>
      </c>
      <c r="H27" s="137"/>
      <c r="I27" s="208">
        <f>SUM(I25:I26)</f>
        <v>-2960.9</v>
      </c>
      <c r="J27" s="129">
        <f>SUM(J25:J26)</f>
        <v>1477292</v>
      </c>
      <c r="K27" s="129">
        <f>SUM(K25:K26)</f>
        <v>1483068</v>
      </c>
      <c r="L27" s="199"/>
      <c r="M27" s="208">
        <f>SUM(M25:M26)</f>
        <v>-2803</v>
      </c>
      <c r="N27" s="129">
        <f>SUM(N25:N26)</f>
        <v>1480265</v>
      </c>
      <c r="O27" s="199"/>
      <c r="P27" s="208">
        <f>SUM(P25:P26)</f>
        <v>-27089</v>
      </c>
      <c r="Q27" s="129">
        <f>SUM(Q25:Q26)</f>
        <v>1453176</v>
      </c>
    </row>
    <row r="28" spans="1:17">
      <c r="A28" s="185"/>
      <c r="B28" s="158" t="s">
        <v>11</v>
      </c>
      <c r="C28" s="129">
        <v>1059848</v>
      </c>
      <c r="D28" s="137">
        <f t="shared" ref="D28:D34" si="14">C28/($C$51-$C$50)</f>
        <v>3.4288426695129708E-2</v>
      </c>
      <c r="E28" s="208">
        <f t="shared" ref="E28:E34" si="15">ROUND(D28*$C$63,1)</f>
        <v>-7200.6</v>
      </c>
      <c r="F28" s="172">
        <f t="shared" si="1"/>
        <v>-6.7939931008974873E-3</v>
      </c>
      <c r="G28" s="129">
        <f t="shared" ref="G28:G39" si="16">ROUND(SUM(C28:E28),0)</f>
        <v>1052647</v>
      </c>
      <c r="H28" s="137">
        <v>-2E-3</v>
      </c>
      <c r="I28" s="208">
        <f t="shared" ref="I28:I39" si="17">ROUND(G28*H28,1)</f>
        <v>-2105.3000000000002</v>
      </c>
      <c r="J28" s="129">
        <f t="shared" ref="J28:J39" si="18">ROUND(SUM(I28,G28),0)</f>
        <v>1050542</v>
      </c>
      <c r="K28" s="129">
        <v>1055362</v>
      </c>
      <c r="L28" s="199">
        <v>-1.89E-3</v>
      </c>
      <c r="M28" s="208">
        <f t="shared" ref="M28:M34" si="19">ROUND(K28*L28,0)</f>
        <v>-1995</v>
      </c>
      <c r="N28" s="129">
        <f t="shared" si="11"/>
        <v>1053367</v>
      </c>
      <c r="O28" s="199">
        <v>-1.83E-2</v>
      </c>
      <c r="P28" s="208">
        <f t="shared" si="0"/>
        <v>-19277</v>
      </c>
      <c r="Q28" s="129">
        <f t="shared" si="13"/>
        <v>1034090</v>
      </c>
    </row>
    <row r="29" spans="1:17">
      <c r="A29" s="185"/>
      <c r="B29" s="158" t="s">
        <v>12</v>
      </c>
      <c r="C29" s="129">
        <v>462346</v>
      </c>
      <c r="D29" s="137">
        <f t="shared" si="14"/>
        <v>1.4957915596185907E-2</v>
      </c>
      <c r="E29" s="208">
        <f t="shared" si="15"/>
        <v>-3141.2</v>
      </c>
      <c r="F29" s="172">
        <f t="shared" si="1"/>
        <v>-6.7940460174847409E-3</v>
      </c>
      <c r="G29" s="129">
        <f t="shared" si="16"/>
        <v>459205</v>
      </c>
      <c r="H29" s="137">
        <v>-2E-3</v>
      </c>
      <c r="I29" s="208">
        <f>ROUND(G29*H29,1)</f>
        <v>-918.4</v>
      </c>
      <c r="J29" s="129">
        <f>ROUND(SUM(I29,G29),0)-1</f>
        <v>458286</v>
      </c>
      <c r="K29" s="129">
        <v>460389</v>
      </c>
      <c r="L29" s="199">
        <v>-1.89E-3</v>
      </c>
      <c r="M29" s="208">
        <f t="shared" si="19"/>
        <v>-870</v>
      </c>
      <c r="N29" s="129">
        <f t="shared" si="11"/>
        <v>459519</v>
      </c>
      <c r="O29" s="199">
        <v>-1.83E-2</v>
      </c>
      <c r="P29" s="208">
        <f t="shared" si="0"/>
        <v>-8409</v>
      </c>
      <c r="Q29" s="129">
        <f t="shared" si="13"/>
        <v>451110</v>
      </c>
    </row>
    <row r="30" spans="1:17">
      <c r="A30" s="185"/>
      <c r="B30" s="158" t="s">
        <v>13</v>
      </c>
      <c r="C30" s="129">
        <v>145660</v>
      </c>
      <c r="D30" s="137">
        <f t="shared" si="14"/>
        <v>4.7124231327629936E-3</v>
      </c>
      <c r="E30" s="208">
        <f t="shared" si="15"/>
        <v>-989.6</v>
      </c>
      <c r="F30" s="172">
        <f t="shared" si="1"/>
        <v>-6.7939036111492514E-3</v>
      </c>
      <c r="G30" s="129">
        <f t="shared" si="16"/>
        <v>144670</v>
      </c>
      <c r="H30" s="137">
        <v>-2E-3</v>
      </c>
      <c r="I30" s="208">
        <f t="shared" si="17"/>
        <v>-289.3</v>
      </c>
      <c r="J30" s="129">
        <f t="shared" si="18"/>
        <v>144381</v>
      </c>
      <c r="K30" s="129">
        <v>145043</v>
      </c>
      <c r="L30" s="199">
        <v>-1.89E-3</v>
      </c>
      <c r="M30" s="208">
        <f t="shared" si="19"/>
        <v>-274</v>
      </c>
      <c r="N30" s="129">
        <f t="shared" si="11"/>
        <v>144769</v>
      </c>
      <c r="O30" s="199">
        <v>-1.83E-2</v>
      </c>
      <c r="P30" s="208">
        <f t="shared" si="0"/>
        <v>-2649</v>
      </c>
      <c r="Q30" s="129">
        <f t="shared" si="13"/>
        <v>142120</v>
      </c>
    </row>
    <row r="31" spans="1:17">
      <c r="A31" s="185"/>
      <c r="B31" s="158" t="s">
        <v>14</v>
      </c>
      <c r="C31" s="129">
        <v>516028</v>
      </c>
      <c r="D31" s="137">
        <f t="shared" si="14"/>
        <v>1.6694647016019651E-2</v>
      </c>
      <c r="E31" s="208">
        <f t="shared" si="15"/>
        <v>-3505.9</v>
      </c>
      <c r="F31" s="172">
        <f t="shared" si="1"/>
        <v>-6.7940111776880327E-3</v>
      </c>
      <c r="G31" s="129">
        <f t="shared" si="16"/>
        <v>512522</v>
      </c>
      <c r="H31" s="137">
        <v>-2E-3</v>
      </c>
      <c r="I31" s="208">
        <f t="shared" si="17"/>
        <v>-1025</v>
      </c>
      <c r="J31" s="129">
        <f t="shared" si="18"/>
        <v>511497</v>
      </c>
      <c r="K31" s="129">
        <v>513844</v>
      </c>
      <c r="L31" s="199">
        <v>-1.89E-3</v>
      </c>
      <c r="M31" s="208">
        <f t="shared" si="19"/>
        <v>-971</v>
      </c>
      <c r="N31" s="129">
        <f t="shared" si="11"/>
        <v>512873</v>
      </c>
      <c r="O31" s="199">
        <v>-1.83E-2</v>
      </c>
      <c r="P31" s="208">
        <f t="shared" si="0"/>
        <v>-9386</v>
      </c>
      <c r="Q31" s="129">
        <f t="shared" si="13"/>
        <v>503487</v>
      </c>
    </row>
    <row r="32" spans="1:17">
      <c r="A32" s="185"/>
      <c r="B32" s="158" t="s">
        <v>15</v>
      </c>
      <c r="C32" s="129">
        <v>316582</v>
      </c>
      <c r="D32" s="137">
        <f t="shared" si="14"/>
        <v>1.0242127833422862E-2</v>
      </c>
      <c r="E32" s="208">
        <f t="shared" si="15"/>
        <v>-2150.8000000000002</v>
      </c>
      <c r="F32" s="172">
        <f t="shared" si="1"/>
        <v>-6.7938164519776873E-3</v>
      </c>
      <c r="G32" s="129">
        <f t="shared" si="16"/>
        <v>314431</v>
      </c>
      <c r="H32" s="137">
        <v>-2E-3</v>
      </c>
      <c r="I32" s="208">
        <f t="shared" si="17"/>
        <v>-628.9</v>
      </c>
      <c r="J32" s="129">
        <f t="shared" si="18"/>
        <v>313802</v>
      </c>
      <c r="K32" s="129">
        <v>338998</v>
      </c>
      <c r="L32" s="199">
        <v>-1.89E-3</v>
      </c>
      <c r="M32" s="208">
        <f t="shared" si="19"/>
        <v>-641</v>
      </c>
      <c r="N32" s="129">
        <f t="shared" si="11"/>
        <v>338357</v>
      </c>
      <c r="O32" s="199">
        <v>-1.83E-2</v>
      </c>
      <c r="P32" s="208">
        <f t="shared" si="0"/>
        <v>-6192</v>
      </c>
      <c r="Q32" s="129">
        <f t="shared" si="13"/>
        <v>332165</v>
      </c>
    </row>
    <row r="33" spans="1:17">
      <c r="A33" s="185"/>
      <c r="B33" s="158" t="s">
        <v>16</v>
      </c>
      <c r="C33" s="129">
        <v>211572</v>
      </c>
      <c r="D33" s="137">
        <f t="shared" si="14"/>
        <v>6.8448220997180571E-3</v>
      </c>
      <c r="E33" s="208">
        <f t="shared" si="15"/>
        <v>-1437.4</v>
      </c>
      <c r="F33" s="172">
        <f t="shared" si="1"/>
        <v>-6.793904675476907E-3</v>
      </c>
      <c r="G33" s="129">
        <f t="shared" si="16"/>
        <v>210135</v>
      </c>
      <c r="H33" s="137">
        <v>-2E-3</v>
      </c>
      <c r="I33" s="208">
        <f t="shared" si="17"/>
        <v>-420.3</v>
      </c>
      <c r="J33" s="129">
        <f>ROUND(SUM(I33,G33),0)-1</f>
        <v>209714</v>
      </c>
      <c r="K33" s="129">
        <v>276963</v>
      </c>
      <c r="L33" s="199">
        <v>-1.89E-3</v>
      </c>
      <c r="M33" s="208">
        <f t="shared" si="19"/>
        <v>-523</v>
      </c>
      <c r="N33" s="129">
        <f t="shared" si="11"/>
        <v>276440</v>
      </c>
      <c r="O33" s="199">
        <v>-1.83E-2</v>
      </c>
      <c r="P33" s="208">
        <f t="shared" si="0"/>
        <v>-5059</v>
      </c>
      <c r="Q33" s="129">
        <f t="shared" si="13"/>
        <v>271381</v>
      </c>
    </row>
    <row r="34" spans="1:17">
      <c r="A34" s="185"/>
      <c r="B34" s="158" t="s">
        <v>17</v>
      </c>
      <c r="C34" s="129">
        <v>1268896</v>
      </c>
      <c r="D34" s="137">
        <f t="shared" si="14"/>
        <v>4.1051591812923463E-2</v>
      </c>
      <c r="E34" s="208">
        <f t="shared" si="15"/>
        <v>-8620.7999999999993</v>
      </c>
      <c r="F34" s="172">
        <f t="shared" si="1"/>
        <v>-6.7939374070057745E-3</v>
      </c>
      <c r="G34" s="129">
        <f t="shared" si="16"/>
        <v>1260275</v>
      </c>
      <c r="H34" s="137">
        <v>-2E-3</v>
      </c>
      <c r="I34" s="208">
        <f t="shared" si="17"/>
        <v>-2520.6</v>
      </c>
      <c r="J34" s="129">
        <f>ROUND(SUM(I34,G34),0)-0.4</f>
        <v>1257753.6000000001</v>
      </c>
      <c r="K34" s="129">
        <v>0</v>
      </c>
      <c r="L34" s="199">
        <v>-1.89E-3</v>
      </c>
      <c r="M34" s="208">
        <f t="shared" si="19"/>
        <v>0</v>
      </c>
      <c r="N34" s="129">
        <f t="shared" si="11"/>
        <v>0</v>
      </c>
      <c r="O34" s="199">
        <v>-1.83E-2</v>
      </c>
      <c r="P34" s="129">
        <f t="shared" si="0"/>
        <v>0</v>
      </c>
      <c r="Q34" s="129">
        <f t="shared" si="13"/>
        <v>0</v>
      </c>
    </row>
    <row r="35" spans="1:17">
      <c r="A35" s="185"/>
      <c r="B35" s="158" t="s">
        <v>18</v>
      </c>
      <c r="C35" s="129">
        <v>128844</v>
      </c>
      <c r="D35" s="137">
        <f>C35/($C$51-$C$50)</f>
        <v>4.1683883435240645E-3</v>
      </c>
      <c r="E35" s="208">
        <f>ROUND(D35*$C$63,1)</f>
        <v>-875.4</v>
      </c>
      <c r="F35" s="172">
        <f t="shared" si="1"/>
        <v>-6.7942628294681943E-3</v>
      </c>
      <c r="G35" s="129">
        <f t="shared" si="16"/>
        <v>127969</v>
      </c>
      <c r="H35" s="137">
        <v>-2E-3</v>
      </c>
      <c r="I35" s="208">
        <f t="shared" si="17"/>
        <v>-255.9</v>
      </c>
      <c r="J35" s="129">
        <f t="shared" si="18"/>
        <v>127713</v>
      </c>
      <c r="K35" s="129">
        <v>128299</v>
      </c>
      <c r="L35" s="199">
        <v>-1.89E-3</v>
      </c>
      <c r="M35" s="208">
        <f t="shared" ref="M35:M39" si="20">ROUND(K35*L35,0)</f>
        <v>-242</v>
      </c>
      <c r="N35" s="129">
        <f t="shared" ref="N35:N39" si="21">K35+M35</f>
        <v>128057</v>
      </c>
      <c r="O35" s="199">
        <v>-1.83E-2</v>
      </c>
      <c r="P35" s="208">
        <f t="shared" si="0"/>
        <v>-2343</v>
      </c>
      <c r="Q35" s="129">
        <f t="shared" si="13"/>
        <v>125714</v>
      </c>
    </row>
    <row r="36" spans="1:17">
      <c r="A36" s="185"/>
      <c r="B36" s="158" t="s">
        <v>93</v>
      </c>
      <c r="C36" s="179" t="s">
        <v>94</v>
      </c>
      <c r="D36" s="137" t="s">
        <v>94</v>
      </c>
      <c r="E36" s="209" t="s">
        <v>94</v>
      </c>
      <c r="F36" s="172" t="s">
        <v>94</v>
      </c>
      <c r="G36" s="179" t="s">
        <v>94</v>
      </c>
      <c r="H36" s="137" t="s">
        <v>94</v>
      </c>
      <c r="I36" s="209" t="s">
        <v>94</v>
      </c>
      <c r="J36" s="179" t="s">
        <v>94</v>
      </c>
      <c r="K36" s="179">
        <f>576456-K37</f>
        <v>566456</v>
      </c>
      <c r="L36" s="199">
        <v>-1.89E-3</v>
      </c>
      <c r="M36" s="209">
        <f t="shared" si="20"/>
        <v>-1071</v>
      </c>
      <c r="N36" s="179">
        <f t="shared" si="21"/>
        <v>565385</v>
      </c>
      <c r="O36" s="199">
        <v>-1.83E-2</v>
      </c>
      <c r="P36" s="209">
        <f t="shared" ref="P36:P37" si="22">ROUND(N36*O36,0)</f>
        <v>-10347</v>
      </c>
      <c r="Q36" s="179">
        <f t="shared" ref="Q36:Q37" si="23">N36+P36</f>
        <v>555038</v>
      </c>
    </row>
    <row r="37" spans="1:17">
      <c r="A37" s="185"/>
      <c r="B37" s="160" t="s">
        <v>95</v>
      </c>
      <c r="C37" s="179"/>
      <c r="D37" s="137"/>
      <c r="E37" s="209"/>
      <c r="F37" s="172"/>
      <c r="G37" s="179"/>
      <c r="H37" s="137"/>
      <c r="I37" s="209"/>
      <c r="J37" s="179"/>
      <c r="K37" s="210">
        <v>10000</v>
      </c>
      <c r="L37" s="199">
        <v>-1.89E-3</v>
      </c>
      <c r="M37" s="177">
        <f t="shared" si="20"/>
        <v>-19</v>
      </c>
      <c r="N37" s="176">
        <f t="shared" si="21"/>
        <v>9981</v>
      </c>
      <c r="O37" s="199">
        <v>-1.83E-2</v>
      </c>
      <c r="P37" s="177">
        <f t="shared" si="22"/>
        <v>-183</v>
      </c>
      <c r="Q37" s="176">
        <f t="shared" si="23"/>
        <v>9798</v>
      </c>
    </row>
    <row r="38" spans="1:17">
      <c r="A38" s="185"/>
      <c r="B38" s="157" t="s">
        <v>97</v>
      </c>
      <c r="C38" s="179"/>
      <c r="D38" s="137"/>
      <c r="E38" s="209"/>
      <c r="F38" s="172"/>
      <c r="G38" s="179"/>
      <c r="H38" s="137"/>
      <c r="I38" s="209"/>
      <c r="J38" s="179"/>
      <c r="K38" s="179">
        <f>SUM(K36:K37)</f>
        <v>576456</v>
      </c>
      <c r="L38" s="199"/>
      <c r="M38" s="208">
        <f>SUM(M36:M37)</f>
        <v>-1090</v>
      </c>
      <c r="N38" s="179">
        <f>SUM(N36:N37)</f>
        <v>575366</v>
      </c>
      <c r="O38" s="199"/>
      <c r="P38" s="208">
        <f>SUM(P36:P37)</f>
        <v>-10530</v>
      </c>
      <c r="Q38" s="179">
        <f>SUM(Q36:Q37)</f>
        <v>564836</v>
      </c>
    </row>
    <row r="39" spans="1:17">
      <c r="A39" s="185"/>
      <c r="B39" s="158" t="s">
        <v>19</v>
      </c>
      <c r="C39" s="129">
        <v>70051</v>
      </c>
      <c r="D39" s="137">
        <f>C39/($C$51-$C$50)</f>
        <v>2.2663047705147638E-3</v>
      </c>
      <c r="E39" s="208">
        <f>ROUND(D39*$C$63,1)</f>
        <v>-475.9</v>
      </c>
      <c r="F39" s="172">
        <f t="shared" si="1"/>
        <v>-6.7936217898388312E-3</v>
      </c>
      <c r="G39" s="129">
        <f t="shared" si="16"/>
        <v>69575</v>
      </c>
      <c r="H39" s="137">
        <v>-2E-3</v>
      </c>
      <c r="I39" s="208">
        <f t="shared" si="17"/>
        <v>-139.19999999999999</v>
      </c>
      <c r="J39" s="129">
        <f t="shared" si="18"/>
        <v>69436</v>
      </c>
      <c r="K39" s="129">
        <v>69754</v>
      </c>
      <c r="L39" s="199">
        <v>-1.89E-3</v>
      </c>
      <c r="M39" s="208">
        <f t="shared" si="20"/>
        <v>-132</v>
      </c>
      <c r="N39" s="129">
        <f t="shared" si="21"/>
        <v>69622</v>
      </c>
      <c r="O39" s="199">
        <v>-1.83E-2</v>
      </c>
      <c r="P39" s="208">
        <f t="shared" si="0"/>
        <v>-1274</v>
      </c>
      <c r="Q39" s="129">
        <f t="shared" si="13"/>
        <v>68348</v>
      </c>
    </row>
    <row r="40" spans="1:17">
      <c r="A40" s="185"/>
      <c r="B40" s="159" t="s">
        <v>87</v>
      </c>
      <c r="C40" s="129"/>
      <c r="D40" s="137"/>
      <c r="E40" s="208"/>
      <c r="F40" s="172"/>
      <c r="G40" s="129"/>
      <c r="H40" s="137"/>
      <c r="I40" s="208"/>
      <c r="J40" s="129"/>
      <c r="K40" s="129"/>
      <c r="L40" s="199"/>
      <c r="M40" s="208"/>
      <c r="N40" s="129"/>
      <c r="O40" s="199"/>
      <c r="P40" s="208"/>
      <c r="Q40" s="129"/>
    </row>
    <row r="41" spans="1:17">
      <c r="A41" s="185"/>
      <c r="B41" s="156" t="s">
        <v>78</v>
      </c>
      <c r="C41" s="129">
        <v>335716</v>
      </c>
      <c r="D41" s="137">
        <f>C41/($C$51-$C$50)</f>
        <v>1.0861155049009072E-2</v>
      </c>
      <c r="E41" s="208">
        <v>-2281</v>
      </c>
      <c r="F41" s="172">
        <f>E41/C41</f>
        <v>-6.7944333901273695E-3</v>
      </c>
      <c r="G41" s="129">
        <f>ROUND(SUM(C41:E41),0)</f>
        <v>333435</v>
      </c>
      <c r="H41" s="137">
        <v>-2E-3</v>
      </c>
      <c r="I41" s="208">
        <f>ROUND(G41*H41,1)</f>
        <v>-666.9</v>
      </c>
      <c r="J41" s="129">
        <f>ROUND(SUM(I41,G41),0)</f>
        <v>332768</v>
      </c>
      <c r="K41" s="129">
        <f>338278-4000</f>
        <v>334278</v>
      </c>
      <c r="L41" s="199">
        <v>-1.89E-3</v>
      </c>
      <c r="M41" s="208">
        <f t="shared" ref="M41:M42" si="24">ROUND(K41*L41,0)</f>
        <v>-632</v>
      </c>
      <c r="N41" s="129">
        <f t="shared" ref="N41:N42" si="25">K41+M41</f>
        <v>333646</v>
      </c>
      <c r="O41" s="199">
        <v>-1.83E-2</v>
      </c>
      <c r="P41" s="208">
        <f t="shared" si="0"/>
        <v>-6106</v>
      </c>
      <c r="Q41" s="129">
        <f t="shared" si="13"/>
        <v>327540</v>
      </c>
    </row>
    <row r="42" spans="1:17">
      <c r="A42" s="185"/>
      <c r="B42" s="156" t="s">
        <v>79</v>
      </c>
      <c r="C42" s="176">
        <v>4000</v>
      </c>
      <c r="D42" s="137">
        <f>C42/($C$51-$C$50)</f>
        <v>1.2940884615578727E-4</v>
      </c>
      <c r="E42" s="177">
        <v>-27</v>
      </c>
      <c r="F42" s="172">
        <f>E42/C42</f>
        <v>-6.7499999999999999E-3</v>
      </c>
      <c r="G42" s="176">
        <v>3973</v>
      </c>
      <c r="H42" s="137">
        <v>-2E-3</v>
      </c>
      <c r="I42" s="177">
        <v>-8</v>
      </c>
      <c r="J42" s="176">
        <f>ROUND(SUM(I42,G42),0)</f>
        <v>3965</v>
      </c>
      <c r="K42" s="176">
        <v>4000</v>
      </c>
      <c r="L42" s="199">
        <v>-1.89E-3</v>
      </c>
      <c r="M42" s="177">
        <f t="shared" si="24"/>
        <v>-8</v>
      </c>
      <c r="N42" s="176">
        <f t="shared" si="25"/>
        <v>3992</v>
      </c>
      <c r="O42" s="199">
        <v>-1.83E-2</v>
      </c>
      <c r="P42" s="177">
        <f t="shared" si="0"/>
        <v>-73</v>
      </c>
      <c r="Q42" s="176">
        <f t="shared" si="13"/>
        <v>3919</v>
      </c>
    </row>
    <row r="43" spans="1:17">
      <c r="A43" s="185"/>
      <c r="B43" s="161" t="s">
        <v>80</v>
      </c>
      <c r="C43" s="129">
        <f>SUM(C41:C42)</f>
        <v>339716</v>
      </c>
      <c r="D43" s="137"/>
      <c r="E43" s="208">
        <f>SUM(E41:E42)</f>
        <v>-2308</v>
      </c>
      <c r="F43" s="172"/>
      <c r="G43" s="129">
        <f>SUM(G41:G42)</f>
        <v>337408</v>
      </c>
      <c r="H43" s="137"/>
      <c r="I43" s="208">
        <f>SUM(I41:I42)</f>
        <v>-674.9</v>
      </c>
      <c r="J43" s="129">
        <f>SUM(J41:J42)</f>
        <v>336733</v>
      </c>
      <c r="K43" s="129">
        <f>SUM(K41:K42)</f>
        <v>338278</v>
      </c>
      <c r="L43" s="199"/>
      <c r="M43" s="208">
        <f>SUM(M41:M42)</f>
        <v>-640</v>
      </c>
      <c r="N43" s="129">
        <f>SUM(N41:N42)</f>
        <v>337638</v>
      </c>
      <c r="O43" s="199"/>
      <c r="P43" s="208">
        <f>SUM(P41:P42)</f>
        <v>-6179</v>
      </c>
      <c r="Q43" s="129">
        <f>SUM(Q41:Q42)</f>
        <v>331459</v>
      </c>
    </row>
    <row r="44" spans="1:17">
      <c r="A44" s="185"/>
      <c r="B44" s="159" t="s">
        <v>86</v>
      </c>
      <c r="C44" s="129"/>
      <c r="D44" s="137"/>
      <c r="E44" s="208"/>
      <c r="F44" s="172"/>
      <c r="G44" s="129"/>
      <c r="H44" s="137"/>
      <c r="I44" s="208"/>
      <c r="J44" s="129"/>
      <c r="K44" s="129"/>
      <c r="L44" s="199"/>
      <c r="M44" s="208"/>
      <c r="N44" s="129"/>
      <c r="O44" s="199"/>
      <c r="P44" s="208"/>
      <c r="Q44" s="129"/>
    </row>
    <row r="45" spans="1:17">
      <c r="A45" s="185"/>
      <c r="B45" s="160" t="s">
        <v>73</v>
      </c>
      <c r="C45" s="129">
        <v>431311</v>
      </c>
      <c r="D45" s="137">
        <f>C45/($C$51-$C$50)</f>
        <v>1.3953864711074692E-2</v>
      </c>
      <c r="E45" s="208">
        <f>-5449+0.4</f>
        <v>-5448.6</v>
      </c>
      <c r="F45" s="172">
        <f>E45/C45</f>
        <v>-1.2632647903716808E-2</v>
      </c>
      <c r="G45" s="129">
        <f>ROUND(SUM(C45:E45),1)</f>
        <v>425862.40000000002</v>
      </c>
      <c r="H45" s="137">
        <v>-2E-3</v>
      </c>
      <c r="I45" s="208">
        <f>ROUND(G45*H45,1)</f>
        <v>-851.7</v>
      </c>
      <c r="J45" s="129">
        <f>ROUND(SUM(I45,G45),1)</f>
        <v>425010.7</v>
      </c>
      <c r="K45" s="129">
        <f>1461880-K46-K47-K48</f>
        <v>714038</v>
      </c>
      <c r="L45" s="199">
        <v>-1.89E-3</v>
      </c>
      <c r="M45" s="208">
        <f t="shared" ref="M45:M48" si="26">ROUND(K45*L45,0)</f>
        <v>-1350</v>
      </c>
      <c r="N45" s="129">
        <f t="shared" ref="N45:N59" si="27">K45+M45</f>
        <v>712688</v>
      </c>
      <c r="O45" s="199">
        <v>-1.83E-2</v>
      </c>
      <c r="P45" s="208">
        <f t="shared" si="0"/>
        <v>-13042</v>
      </c>
      <c r="Q45" s="129">
        <f t="shared" ref="Q45:Q50" si="28">N45+P45</f>
        <v>699646</v>
      </c>
    </row>
    <row r="46" spans="1:17">
      <c r="A46" s="185"/>
      <c r="B46" s="160" t="s">
        <v>74</v>
      </c>
      <c r="C46" s="129">
        <v>544109</v>
      </c>
      <c r="D46" s="137">
        <f>C46/($C$51-$C$50)</f>
        <v>1.7603129468244817E-2</v>
      </c>
      <c r="E46" s="208">
        <v>0</v>
      </c>
      <c r="F46" s="172">
        <f>E46/C46</f>
        <v>0</v>
      </c>
      <c r="G46" s="129">
        <f>ROUND(SUM(C46:E46),1)</f>
        <v>544109</v>
      </c>
      <c r="H46" s="137">
        <v>-2E-3</v>
      </c>
      <c r="I46" s="208">
        <f>ROUND(G46*H46,1)</f>
        <v>-1088.2</v>
      </c>
      <c r="J46" s="129">
        <f>ROUND(SUM(I46,G46),1)</f>
        <v>543020.80000000005</v>
      </c>
      <c r="K46" s="129">
        <v>545962</v>
      </c>
      <c r="L46" s="199">
        <v>-1.89E-3</v>
      </c>
      <c r="M46" s="208">
        <f t="shared" si="26"/>
        <v>-1032</v>
      </c>
      <c r="N46" s="129">
        <f t="shared" si="27"/>
        <v>544930</v>
      </c>
      <c r="O46" s="199">
        <v>-1.83E-2</v>
      </c>
      <c r="P46" s="208">
        <f t="shared" si="0"/>
        <v>-9972</v>
      </c>
      <c r="Q46" s="129">
        <f t="shared" si="28"/>
        <v>534958</v>
      </c>
    </row>
    <row r="47" spans="1:17">
      <c r="A47" s="185"/>
      <c r="B47" s="160" t="s">
        <v>75</v>
      </c>
      <c r="C47" s="129">
        <v>193880</v>
      </c>
      <c r="D47" s="137">
        <f>C47/($C$51-$C$50)</f>
        <v>6.27244677317101E-3</v>
      </c>
      <c r="E47" s="208">
        <f>-2449</f>
        <v>-2449</v>
      </c>
      <c r="F47" s="172">
        <f>E47/C47</f>
        <v>-1.2631524654425418E-2</v>
      </c>
      <c r="G47" s="129">
        <f>ROUND(SUM(C47:E47),1)</f>
        <v>191431</v>
      </c>
      <c r="H47" s="137">
        <v>-2E-3</v>
      </c>
      <c r="I47" s="208">
        <f>ROUND(G47*H47,1)</f>
        <v>-382.9</v>
      </c>
      <c r="J47" s="129">
        <f>ROUND(SUM(I47,G47),1)</f>
        <v>191048.1</v>
      </c>
      <c r="K47" s="129">
        <v>193880</v>
      </c>
      <c r="L47" s="199">
        <v>-1.89E-3</v>
      </c>
      <c r="M47" s="208">
        <f t="shared" si="26"/>
        <v>-366</v>
      </c>
      <c r="N47" s="129">
        <f t="shared" si="27"/>
        <v>193514</v>
      </c>
      <c r="O47" s="199">
        <v>-1.83E-2</v>
      </c>
      <c r="P47" s="208">
        <f t="shared" si="0"/>
        <v>-3541</v>
      </c>
      <c r="Q47" s="129">
        <f t="shared" si="28"/>
        <v>189973</v>
      </c>
    </row>
    <row r="48" spans="1:17">
      <c r="A48" s="185"/>
      <c r="B48" s="160" t="s">
        <v>76</v>
      </c>
      <c r="C48" s="176">
        <v>8000</v>
      </c>
      <c r="D48" s="137">
        <f>C48/($C$51-$C$50)</f>
        <v>2.5881769231157455E-4</v>
      </c>
      <c r="E48" s="177">
        <v>-101</v>
      </c>
      <c r="F48" s="172">
        <f>E48/C48</f>
        <v>-1.2625000000000001E-2</v>
      </c>
      <c r="G48" s="176">
        <f>ROUND(SUM(C48:E48),0)</f>
        <v>7899</v>
      </c>
      <c r="H48" s="137">
        <v>-2E-3</v>
      </c>
      <c r="I48" s="177">
        <v>-16</v>
      </c>
      <c r="J48" s="176">
        <f>ROUND(SUM(I48,G48),0)</f>
        <v>7883</v>
      </c>
      <c r="K48" s="176">
        <v>8000</v>
      </c>
      <c r="L48" s="199">
        <v>-1.89E-3</v>
      </c>
      <c r="M48" s="177">
        <f t="shared" si="26"/>
        <v>-15</v>
      </c>
      <c r="N48" s="176">
        <f t="shared" si="27"/>
        <v>7985</v>
      </c>
      <c r="O48" s="199">
        <v>-1.83E-2</v>
      </c>
      <c r="P48" s="177">
        <f t="shared" si="0"/>
        <v>-146</v>
      </c>
      <c r="Q48" s="176">
        <f t="shared" si="28"/>
        <v>7839</v>
      </c>
    </row>
    <row r="49" spans="1:17">
      <c r="A49" s="185"/>
      <c r="B49" s="161" t="s">
        <v>77</v>
      </c>
      <c r="C49" s="129">
        <f>SUM(C45:C48)</f>
        <v>1177300</v>
      </c>
      <c r="D49" s="137"/>
      <c r="E49" s="208">
        <f>SUM(E45:E48)</f>
        <v>-7998.6</v>
      </c>
      <c r="F49" s="172"/>
      <c r="G49" s="129">
        <f>SUM(G45:G48)</f>
        <v>1169301.3999999999</v>
      </c>
      <c r="H49" s="137"/>
      <c r="I49" s="208">
        <f>SUM(I45:I48)</f>
        <v>-2338.8000000000002</v>
      </c>
      <c r="J49" s="129">
        <f>SUM(J45:J48)</f>
        <v>1166962.6000000001</v>
      </c>
      <c r="K49" s="129">
        <f>SUM(K45:K48)</f>
        <v>1461880</v>
      </c>
      <c r="L49" s="199"/>
      <c r="M49" s="208">
        <f>SUM(M45:M48)</f>
        <v>-2763</v>
      </c>
      <c r="N49" s="129">
        <f>SUM(N45:N48)</f>
        <v>1459117</v>
      </c>
      <c r="O49" s="199"/>
      <c r="P49" s="208">
        <f>SUM(P45:P48)</f>
        <v>-26701</v>
      </c>
      <c r="Q49" s="129">
        <f t="shared" si="28"/>
        <v>1432416</v>
      </c>
    </row>
    <row r="50" spans="1:17">
      <c r="A50" s="186">
        <v>3</v>
      </c>
      <c r="B50" s="158" t="s">
        <v>63</v>
      </c>
      <c r="C50" s="129">
        <v>100000</v>
      </c>
      <c r="D50" s="178" t="s">
        <v>31</v>
      </c>
      <c r="E50" s="208">
        <f>C64</f>
        <v>-50000</v>
      </c>
      <c r="F50" s="172">
        <f t="shared" si="1"/>
        <v>-0.5</v>
      </c>
      <c r="G50" s="129">
        <f>ROUND(SUM(C50:E50),0)</f>
        <v>50000</v>
      </c>
      <c r="H50" s="137">
        <v>-2E-3</v>
      </c>
      <c r="I50" s="208">
        <f>ROUND(G50*H50,1)</f>
        <v>-100</v>
      </c>
      <c r="J50" s="129">
        <f>ROUND(SUM(I50,G50),0)</f>
        <v>49900</v>
      </c>
      <c r="K50" s="129">
        <v>125581</v>
      </c>
      <c r="L50" s="199">
        <v>-1.89E-3</v>
      </c>
      <c r="M50" s="208">
        <f>ROUND(K50*L50,0)</f>
        <v>-237</v>
      </c>
      <c r="N50" s="129">
        <f t="shared" si="27"/>
        <v>125344</v>
      </c>
      <c r="O50" s="199">
        <v>-1.83E-2</v>
      </c>
      <c r="P50" s="208">
        <f t="shared" si="0"/>
        <v>-2294</v>
      </c>
      <c r="Q50" s="129">
        <f t="shared" si="28"/>
        <v>123050</v>
      </c>
    </row>
    <row r="51" spans="1:17">
      <c r="A51" s="185"/>
      <c r="B51" s="162" t="s">
        <v>40</v>
      </c>
      <c r="C51" s="132">
        <f>SUM(C8,C9:C12,C16,C17:C23,C27,C28:C39,C43,C49,C50)</f>
        <v>31009788</v>
      </c>
      <c r="D51" s="133">
        <f>SUM(D5:D50)</f>
        <v>1</v>
      </c>
      <c r="E51" s="134">
        <f>SUM(E8,E9:E12,E16,E17:E23,E27,E28:E39,E43,E49,E50)-2</f>
        <v>-259999.89999999997</v>
      </c>
      <c r="F51" s="173">
        <f t="shared" si="1"/>
        <v>-8.3844462271073887E-3</v>
      </c>
      <c r="G51" s="132">
        <f>SUM(G8,G9:G12,G16,G17:G23,G27,G28:G39,G43,G49,G50)</f>
        <v>30749788.159999996</v>
      </c>
      <c r="H51" s="133">
        <v>-2E-3</v>
      </c>
      <c r="I51" s="134">
        <f>ROUND(G51*H51,0)</f>
        <v>-61500</v>
      </c>
      <c r="J51" s="132">
        <f>SUM(J8,J9:J12,J16,J17:J23,J27,J28:J35,J43,J49,J50)+J39+J38</f>
        <v>30688288.200000003</v>
      </c>
      <c r="K51" s="132">
        <f>SUM(K8,K9:K12,K16,K17:K23,K27,K28:K35,K43,K49,K50)+K39+K38</f>
        <v>30689990</v>
      </c>
      <c r="L51" s="198">
        <v>-1.89E-3</v>
      </c>
      <c r="M51" s="134">
        <f>SUM(M8,M9:M12,M16,M17:M23,M27,M28:M35,M43,M49,M50)+M39+M38</f>
        <v>-58004</v>
      </c>
      <c r="N51" s="132">
        <f>SUM(N8,N9:N12,N16,N17:N23,N27,N28:N35,N43,N49,N50)+N39+N38</f>
        <v>30631986</v>
      </c>
      <c r="O51" s="198">
        <v>-1.83E-2</v>
      </c>
      <c r="P51" s="134">
        <f>SUM(P8,P9:P12,P16,P17:P23,P27,P28:P35,P43,P49,P50)+P39+P38</f>
        <v>-560567</v>
      </c>
      <c r="Q51" s="132">
        <f>SUM(Q8,Q9:Q12,Q16,Q17:Q23,Q27,Q28:Q35,Q43,Q49,Q50)+Q39+Q38</f>
        <v>30071419</v>
      </c>
    </row>
    <row r="52" spans="1:17">
      <c r="A52" s="185"/>
      <c r="B52" s="163"/>
      <c r="C52" s="136"/>
      <c r="D52" s="137"/>
      <c r="E52" s="130"/>
      <c r="F52" s="172"/>
      <c r="G52" s="136"/>
      <c r="H52" s="137"/>
      <c r="I52" s="131"/>
      <c r="J52" s="136"/>
      <c r="K52" s="136"/>
      <c r="L52" s="199"/>
      <c r="M52" s="181"/>
      <c r="N52" s="136"/>
      <c r="O52" s="199"/>
      <c r="P52" s="181"/>
      <c r="Q52" s="136"/>
    </row>
    <row r="53" spans="1:17">
      <c r="A53" s="185"/>
      <c r="B53" s="158" t="s">
        <v>30</v>
      </c>
      <c r="C53" s="138">
        <v>79212</v>
      </c>
      <c r="D53" s="137"/>
      <c r="E53" s="139">
        <v>0</v>
      </c>
      <c r="F53" s="174">
        <f>E53/C53</f>
        <v>0</v>
      </c>
      <c r="G53" s="138">
        <f>ROUND(SUM(C53:E53),0)</f>
        <v>79212</v>
      </c>
      <c r="H53" s="137">
        <v>-2E-3</v>
      </c>
      <c r="I53" s="131">
        <f>ROUND(G53*H53,0)</f>
        <v>-158</v>
      </c>
      <c r="J53" s="138">
        <f>ROUND(SUM(I53,G53),0)</f>
        <v>79054</v>
      </c>
      <c r="K53" s="138">
        <v>79054</v>
      </c>
      <c r="L53" s="199">
        <v>-1.89E-3</v>
      </c>
      <c r="M53" s="181">
        <f>ROUND(K53*L53,0)</f>
        <v>-149</v>
      </c>
      <c r="N53" s="138">
        <f t="shared" si="27"/>
        <v>78905</v>
      </c>
      <c r="O53" s="199">
        <v>-1.83E-2</v>
      </c>
      <c r="P53" s="181">
        <f>ROUND(N53*O53,0)</f>
        <v>-1444</v>
      </c>
      <c r="Q53" s="129">
        <f t="shared" ref="Q53" si="29">N53+P53</f>
        <v>77461</v>
      </c>
    </row>
    <row r="54" spans="1:17">
      <c r="A54" s="185"/>
      <c r="B54" s="164" t="s">
        <v>35</v>
      </c>
      <c r="C54" s="132">
        <f>C51+C53</f>
        <v>31089000</v>
      </c>
      <c r="D54" s="140"/>
      <c r="E54" s="134">
        <f>E51+E53</f>
        <v>-259999.89999999997</v>
      </c>
      <c r="F54" s="175"/>
      <c r="G54" s="132">
        <f>G51+G53</f>
        <v>30829000.159999996</v>
      </c>
      <c r="H54" s="140"/>
      <c r="I54" s="134">
        <f>I51+I53</f>
        <v>-61658</v>
      </c>
      <c r="J54" s="132">
        <f>J51+J53</f>
        <v>30767342.200000003</v>
      </c>
      <c r="K54" s="132">
        <f>K51+K53</f>
        <v>30769044</v>
      </c>
      <c r="L54" s="200"/>
      <c r="M54" s="134">
        <f>M51+M53</f>
        <v>-58153</v>
      </c>
      <c r="N54" s="132">
        <f>N51+N53</f>
        <v>30710891</v>
      </c>
      <c r="O54" s="200"/>
      <c r="P54" s="134">
        <f>P51+P53</f>
        <v>-562011</v>
      </c>
      <c r="Q54" s="132">
        <f>Q51+Q53</f>
        <v>30148880</v>
      </c>
    </row>
    <row r="55" spans="1:17">
      <c r="A55" s="185"/>
      <c r="B55" s="163"/>
      <c r="C55" s="138"/>
      <c r="D55" s="137"/>
      <c r="E55" s="139"/>
      <c r="F55" s="170"/>
      <c r="G55" s="138"/>
      <c r="H55" s="137"/>
      <c r="I55" s="131"/>
      <c r="J55" s="138"/>
      <c r="K55" s="138"/>
      <c r="L55" s="199"/>
      <c r="M55" s="181"/>
      <c r="N55" s="138"/>
      <c r="O55" s="199"/>
      <c r="P55" s="181"/>
      <c r="Q55" s="138"/>
    </row>
    <row r="56" spans="1:17">
      <c r="A56" s="186">
        <v>4</v>
      </c>
      <c r="B56" s="158" t="s">
        <v>92</v>
      </c>
      <c r="C56" s="138">
        <v>150000</v>
      </c>
      <c r="D56" s="137"/>
      <c r="E56" s="139">
        <v>0</v>
      </c>
      <c r="F56" s="170">
        <f>E56/C56</f>
        <v>0</v>
      </c>
      <c r="G56" s="138">
        <f>ROUND(SUM(C56:E56),0)</f>
        <v>150000</v>
      </c>
      <c r="H56" s="170">
        <v>0</v>
      </c>
      <c r="I56" s="128">
        <f>ROUND(G56*H56,0)</f>
        <v>0</v>
      </c>
      <c r="J56" s="138">
        <f>ROUND(SUM(I56,G56),0)</f>
        <v>150000</v>
      </c>
      <c r="K56" s="138">
        <v>150000</v>
      </c>
      <c r="L56" s="201">
        <v>-1.89E-3</v>
      </c>
      <c r="M56" s="180">
        <f>ROUND(K56*L56,0)</f>
        <v>-284</v>
      </c>
      <c r="N56" s="138">
        <f t="shared" si="27"/>
        <v>149716</v>
      </c>
      <c r="O56" s="201">
        <v>-1.83E-2</v>
      </c>
      <c r="P56" s="180">
        <f>ROUND(N56*O56,0)</f>
        <v>-2740</v>
      </c>
      <c r="Q56" s="129">
        <f t="shared" ref="Q56" si="30">N56+P56</f>
        <v>146976</v>
      </c>
    </row>
    <row r="57" spans="1:17">
      <c r="A57" s="185"/>
      <c r="B57" s="165" t="s">
        <v>36</v>
      </c>
      <c r="C57" s="132">
        <f>C54+C56</f>
        <v>31239000</v>
      </c>
      <c r="D57" s="140"/>
      <c r="E57" s="134">
        <f>E54+E56</f>
        <v>-259999.89999999997</v>
      </c>
      <c r="F57" s="171"/>
      <c r="G57" s="132">
        <f>G54+G56</f>
        <v>30979000.159999996</v>
      </c>
      <c r="H57" s="171"/>
      <c r="I57" s="135">
        <f>I54+I56</f>
        <v>-61658</v>
      </c>
      <c r="J57" s="132">
        <f>J54+J56</f>
        <v>30917342.200000003</v>
      </c>
      <c r="K57" s="132">
        <f>K54+K56</f>
        <v>30919044</v>
      </c>
      <c r="L57" s="171"/>
      <c r="M57" s="135">
        <f>M54+M56</f>
        <v>-58437</v>
      </c>
      <c r="N57" s="132">
        <f>N54+N56</f>
        <v>30860607</v>
      </c>
      <c r="O57" s="171"/>
      <c r="P57" s="135">
        <f>P54+P56</f>
        <v>-564751</v>
      </c>
      <c r="Q57" s="132">
        <f>Q54+Q56</f>
        <v>30295856</v>
      </c>
    </row>
    <row r="58" spans="1:17">
      <c r="A58" s="185"/>
      <c r="B58" s="163"/>
      <c r="C58" s="138"/>
      <c r="D58" s="137"/>
      <c r="E58" s="139"/>
      <c r="F58" s="170"/>
      <c r="G58" s="138"/>
      <c r="H58" s="170"/>
      <c r="I58" s="128"/>
      <c r="J58" s="138"/>
      <c r="K58" s="138"/>
      <c r="L58" s="170"/>
      <c r="M58" s="180"/>
      <c r="N58" s="138"/>
      <c r="O58" s="170"/>
      <c r="P58" s="180"/>
      <c r="Q58" s="138"/>
    </row>
    <row r="59" spans="1:17">
      <c r="A59" s="185"/>
      <c r="B59" s="158" t="s">
        <v>23</v>
      </c>
      <c r="C59" s="138">
        <v>8200</v>
      </c>
      <c r="D59" s="137"/>
      <c r="E59" s="139">
        <v>0</v>
      </c>
      <c r="F59" s="174">
        <f>E59/C59</f>
        <v>0</v>
      </c>
      <c r="G59" s="138">
        <f>ROUND(SUM(C59:E59),0)</f>
        <v>8200</v>
      </c>
      <c r="H59" s="170">
        <v>0</v>
      </c>
      <c r="I59" s="128">
        <f>ROUND(G59*H59,0)</f>
        <v>0</v>
      </c>
      <c r="J59" s="138">
        <f>ROUND(SUM(I59,G59),0)</f>
        <v>8200</v>
      </c>
      <c r="K59" s="138">
        <v>8200</v>
      </c>
      <c r="L59" s="170">
        <v>0</v>
      </c>
      <c r="M59" s="180">
        <f>ROUND(K59*L59,0)</f>
        <v>0</v>
      </c>
      <c r="N59" s="138">
        <f t="shared" si="27"/>
        <v>8200</v>
      </c>
      <c r="O59" s="170">
        <v>0</v>
      </c>
      <c r="P59" s="180">
        <f>ROUND(N59*O59,0)</f>
        <v>0</v>
      </c>
      <c r="Q59" s="129">
        <f t="shared" ref="Q59" si="31">N59+P59</f>
        <v>8200</v>
      </c>
    </row>
    <row r="60" spans="1:17">
      <c r="A60" s="185"/>
      <c r="B60" s="163"/>
      <c r="C60" s="136"/>
      <c r="D60" s="137"/>
      <c r="E60" s="130"/>
      <c r="F60" s="172"/>
      <c r="G60" s="136"/>
      <c r="H60" s="137"/>
      <c r="I60" s="128"/>
      <c r="J60" s="136"/>
      <c r="K60" s="136"/>
      <c r="L60" s="137"/>
      <c r="M60" s="180"/>
      <c r="N60" s="136"/>
      <c r="O60" s="137"/>
      <c r="P60" s="180"/>
      <c r="Q60" s="136"/>
    </row>
    <row r="61" spans="1:17" s="37" customFormat="1">
      <c r="A61" s="187"/>
      <c r="B61" s="165" t="s">
        <v>37</v>
      </c>
      <c r="C61" s="132">
        <f>C57+C59</f>
        <v>31247200</v>
      </c>
      <c r="D61" s="133"/>
      <c r="E61" s="134">
        <f>E57+E59</f>
        <v>-259999.89999999997</v>
      </c>
      <c r="F61" s="173">
        <f>E61/C61</f>
        <v>-8.3207423385135305E-3</v>
      </c>
      <c r="G61" s="132">
        <f>G57+G59</f>
        <v>30987200.159999996</v>
      </c>
      <c r="H61" s="184"/>
      <c r="I61" s="135">
        <f>I57+I59</f>
        <v>-61658</v>
      </c>
      <c r="J61" s="132">
        <f>J57+J59</f>
        <v>30925542.200000003</v>
      </c>
      <c r="K61" s="132">
        <f>K57+K59</f>
        <v>30927244</v>
      </c>
      <c r="L61" s="184"/>
      <c r="M61" s="135">
        <f>M57+M59</f>
        <v>-58437</v>
      </c>
      <c r="N61" s="132">
        <f>N57+N59</f>
        <v>30868807</v>
      </c>
      <c r="O61" s="184"/>
      <c r="P61" s="135">
        <f>P57+P59</f>
        <v>-564751</v>
      </c>
      <c r="Q61" s="132">
        <f>Q57+Q59</f>
        <v>30304056</v>
      </c>
    </row>
    <row r="62" spans="1:17">
      <c r="A62" s="185"/>
      <c r="B62" s="166"/>
      <c r="C62" s="122"/>
      <c r="D62" s="141"/>
      <c r="E62" s="142"/>
      <c r="F62" s="143"/>
      <c r="G62" s="122"/>
      <c r="H62" s="121"/>
      <c r="I62" s="144"/>
      <c r="J62" s="122"/>
      <c r="K62" s="122"/>
      <c r="L62" s="121"/>
      <c r="M62" s="121"/>
      <c r="N62" s="121"/>
      <c r="O62" s="121"/>
      <c r="P62" s="121"/>
      <c r="Q62" s="203"/>
    </row>
    <row r="63" spans="1:17">
      <c r="A63" s="188" t="s">
        <v>88</v>
      </c>
      <c r="B63" s="167"/>
      <c r="C63" s="145">
        <v>-210000</v>
      </c>
      <c r="D63" s="146"/>
      <c r="E63" s="147"/>
      <c r="F63" s="147"/>
      <c r="G63" s="148"/>
      <c r="H63" s="149"/>
      <c r="I63" s="148"/>
      <c r="J63" s="148"/>
      <c r="K63" s="148"/>
      <c r="L63" s="149"/>
      <c r="M63" s="149"/>
      <c r="N63" s="149"/>
      <c r="O63" s="149"/>
      <c r="P63" s="149"/>
      <c r="Q63" s="204"/>
    </row>
    <row r="64" spans="1:17">
      <c r="A64" s="189" t="s">
        <v>89</v>
      </c>
      <c r="B64" s="168"/>
      <c r="C64" s="150">
        <v>-50000</v>
      </c>
      <c r="D64" s="151"/>
      <c r="E64" s="152"/>
      <c r="F64" s="152"/>
      <c r="G64" s="153"/>
      <c r="H64" s="154"/>
      <c r="I64" s="153"/>
      <c r="J64" s="153"/>
      <c r="K64" s="153"/>
      <c r="L64" s="154"/>
      <c r="M64" s="154"/>
      <c r="N64" s="154"/>
      <c r="O64" s="154"/>
      <c r="P64" s="154"/>
      <c r="Q64" s="205"/>
    </row>
    <row r="65" spans="1:17" s="123" customFormat="1" ht="14.25">
      <c r="A65" s="190" t="s">
        <v>81</v>
      </c>
      <c r="B65" s="169"/>
      <c r="C65" s="117"/>
      <c r="D65" s="118"/>
      <c r="E65" s="119"/>
      <c r="F65" s="119"/>
      <c r="G65" s="120"/>
      <c r="H65" s="121"/>
      <c r="I65" s="122"/>
      <c r="J65" s="120"/>
      <c r="K65" s="120"/>
      <c r="L65" s="121"/>
      <c r="M65" s="121"/>
      <c r="N65" s="121"/>
      <c r="O65" s="121"/>
      <c r="P65" s="121"/>
      <c r="Q65" s="206"/>
    </row>
    <row r="66" spans="1:17" s="123" customFormat="1" ht="14.25">
      <c r="A66" s="190" t="s">
        <v>82</v>
      </c>
      <c r="B66" s="169"/>
      <c r="C66" s="117"/>
      <c r="D66" s="118"/>
      <c r="E66" s="119"/>
      <c r="F66" s="119"/>
      <c r="G66" s="120"/>
      <c r="H66" s="121"/>
      <c r="I66" s="122"/>
      <c r="J66" s="120"/>
      <c r="K66" s="120"/>
      <c r="L66" s="121"/>
      <c r="M66" s="121"/>
      <c r="N66" s="121"/>
      <c r="O66" s="121"/>
      <c r="P66" s="121"/>
      <c r="Q66" s="206"/>
    </row>
    <row r="67" spans="1:17" s="123" customFormat="1" ht="12">
      <c r="A67" s="190" t="s">
        <v>44</v>
      </c>
      <c r="B67" s="169"/>
      <c r="C67" s="117"/>
      <c r="D67" s="118"/>
      <c r="E67" s="119"/>
      <c r="F67" s="119"/>
      <c r="G67" s="120"/>
      <c r="H67" s="121"/>
      <c r="I67" s="122"/>
      <c r="J67" s="120"/>
      <c r="K67" s="120"/>
      <c r="L67" s="121"/>
      <c r="M67" s="121"/>
      <c r="N67" s="121"/>
      <c r="O67" s="121"/>
      <c r="P67" s="121"/>
      <c r="Q67" s="206"/>
    </row>
    <row r="68" spans="1:17" s="123" customFormat="1" ht="14.25">
      <c r="A68" s="190" t="s">
        <v>83</v>
      </c>
      <c r="B68" s="169"/>
      <c r="C68" s="117"/>
      <c r="D68" s="118"/>
      <c r="E68" s="119"/>
      <c r="F68" s="119"/>
      <c r="G68" s="120"/>
      <c r="H68" s="121"/>
      <c r="I68" s="122"/>
      <c r="J68" s="120"/>
      <c r="K68" s="120"/>
      <c r="L68" s="121"/>
      <c r="M68" s="121"/>
      <c r="N68" s="121"/>
      <c r="O68" s="121"/>
      <c r="P68" s="121"/>
      <c r="Q68" s="206"/>
    </row>
    <row r="69" spans="1:17" s="123" customFormat="1" ht="14.25">
      <c r="A69" s="190" t="s">
        <v>84</v>
      </c>
      <c r="B69" s="169"/>
      <c r="C69" s="117"/>
      <c r="D69" s="118"/>
      <c r="E69" s="119"/>
      <c r="F69" s="119"/>
      <c r="G69" s="120"/>
      <c r="H69" s="121"/>
      <c r="I69" s="122"/>
      <c r="J69" s="120"/>
      <c r="K69" s="120"/>
      <c r="L69" s="121"/>
      <c r="M69" s="121"/>
      <c r="N69" s="121"/>
      <c r="O69" s="121"/>
      <c r="P69" s="121"/>
      <c r="Q69" s="206"/>
    </row>
    <row r="70" spans="1:17" s="123" customFormat="1" ht="14.25">
      <c r="A70" s="190" t="s">
        <v>85</v>
      </c>
      <c r="B70" s="169"/>
      <c r="C70" s="117"/>
      <c r="D70" s="118"/>
      <c r="E70" s="119"/>
      <c r="F70" s="119"/>
      <c r="G70" s="120"/>
      <c r="H70" s="121"/>
      <c r="I70" s="122"/>
      <c r="J70" s="120"/>
      <c r="K70" s="120"/>
      <c r="L70" s="121"/>
      <c r="M70" s="121"/>
      <c r="N70" s="121"/>
      <c r="O70" s="121"/>
      <c r="P70" s="121"/>
      <c r="Q70" s="206"/>
    </row>
    <row r="71" spans="1:17" s="123" customFormat="1" ht="12">
      <c r="A71" s="190"/>
      <c r="B71" s="169"/>
      <c r="C71" s="117"/>
      <c r="D71" s="118"/>
      <c r="E71" s="119"/>
      <c r="F71" s="119"/>
      <c r="G71" s="120"/>
      <c r="H71" s="121"/>
      <c r="I71" s="122"/>
      <c r="J71" s="120"/>
      <c r="K71" s="120"/>
      <c r="L71" s="121"/>
      <c r="M71" s="121"/>
      <c r="N71" s="121"/>
      <c r="O71" s="121"/>
      <c r="P71" s="121"/>
      <c r="Q71" s="206"/>
    </row>
    <row r="72" spans="1:17" s="123" customFormat="1" ht="12">
      <c r="A72" s="191"/>
      <c r="B72" s="192"/>
      <c r="C72" s="193"/>
      <c r="D72" s="194"/>
      <c r="E72" s="193"/>
      <c r="F72" s="193"/>
      <c r="G72" s="193"/>
      <c r="H72" s="195"/>
      <c r="I72" s="193"/>
      <c r="J72" s="193"/>
      <c r="K72" s="193"/>
      <c r="L72" s="195"/>
      <c r="M72" s="195"/>
      <c r="N72" s="195"/>
      <c r="O72" s="195"/>
      <c r="P72" s="195"/>
      <c r="Q72" s="207"/>
    </row>
    <row r="73" spans="1:17">
      <c r="C73" s="113"/>
      <c r="E73" s="113"/>
      <c r="F73" s="113"/>
      <c r="G73" s="113"/>
      <c r="H73" s="115"/>
      <c r="I73" s="113"/>
      <c r="J73" s="113"/>
      <c r="K73" s="113"/>
      <c r="L73" s="115"/>
      <c r="M73" s="113"/>
      <c r="N73" s="113"/>
      <c r="O73" s="115"/>
      <c r="P73" s="113"/>
      <c r="Q73" s="113"/>
    </row>
    <row r="74" spans="1:17">
      <c r="C74" s="113"/>
      <c r="E74" s="113"/>
      <c r="F74" s="113"/>
      <c r="G74" s="113"/>
      <c r="H74" s="115"/>
      <c r="I74" s="113"/>
      <c r="J74" s="113"/>
      <c r="K74" s="113"/>
      <c r="L74" s="115"/>
      <c r="M74" s="113"/>
      <c r="N74" s="113"/>
      <c r="O74" s="115"/>
      <c r="P74" s="113"/>
      <c r="Q74" s="113"/>
    </row>
  </sheetData>
  <mergeCells count="3">
    <mergeCell ref="B2:J2"/>
    <mergeCell ref="B3:J3"/>
    <mergeCell ref="B1:J1"/>
  </mergeCells>
  <pageMargins left="0.45" right="0.45" top="0.75" bottom="0.75" header="0.3" footer="0.3"/>
  <pageSetup scale="62" orientation="portrait" r:id="rId1"/>
  <ignoredErrors>
    <ignoredError sqref="M8:N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showGridLines="0" workbookViewId="0">
      <selection activeCell="B36" sqref="B36"/>
    </sheetView>
  </sheetViews>
  <sheetFormatPr defaultRowHeight="15"/>
  <cols>
    <col min="1" max="1" width="31.140625" customWidth="1"/>
    <col min="2" max="2" width="16.85546875" customWidth="1"/>
    <col min="3" max="3" width="12.85546875" style="3" customWidth="1"/>
    <col min="4" max="4" width="15.7109375" customWidth="1"/>
    <col min="5" max="5" width="9.85546875" bestFit="1" customWidth="1"/>
    <col min="6" max="6" width="17.140625" customWidth="1"/>
    <col min="7" max="7" width="12" style="85" customWidth="1"/>
    <col min="8" max="8" width="12" customWidth="1"/>
    <col min="9" max="9" width="17.140625" customWidth="1"/>
    <col min="10" max="10" width="11.85546875" bestFit="1" customWidth="1"/>
    <col min="11" max="11" width="9.85546875" bestFit="1" customWidth="1"/>
  </cols>
  <sheetData>
    <row r="1" spans="1:10" ht="27.75" customHeight="1">
      <c r="A1" s="227" t="s">
        <v>38</v>
      </c>
      <c r="B1" s="227"/>
      <c r="C1" s="227"/>
      <c r="D1" s="227"/>
      <c r="E1" s="227"/>
      <c r="F1" s="227"/>
      <c r="G1" s="227"/>
      <c r="H1" s="227"/>
      <c r="I1" s="227"/>
    </row>
    <row r="2" spans="1:10" ht="26.25" customHeight="1">
      <c r="A2" s="225" t="s">
        <v>39</v>
      </c>
      <c r="B2" s="225"/>
      <c r="C2" s="225"/>
      <c r="D2" s="225"/>
      <c r="E2" s="225"/>
      <c r="F2" s="225"/>
      <c r="G2" s="225"/>
      <c r="H2" s="225"/>
      <c r="I2" s="225"/>
    </row>
    <row r="3" spans="1:10" ht="24" customHeight="1" thickBot="1">
      <c r="A3" s="228" t="s">
        <v>29</v>
      </c>
      <c r="B3" s="228"/>
      <c r="C3" s="228"/>
      <c r="D3" s="228"/>
      <c r="E3" s="228"/>
      <c r="F3" s="228"/>
      <c r="G3" s="228"/>
      <c r="H3" s="228"/>
      <c r="I3" s="228"/>
    </row>
    <row r="4" spans="1:10" ht="48" thickBot="1">
      <c r="A4" s="66" t="s">
        <v>34</v>
      </c>
      <c r="B4" s="48" t="s">
        <v>22</v>
      </c>
      <c r="C4" s="49" t="s">
        <v>32</v>
      </c>
      <c r="D4" s="48" t="s">
        <v>25</v>
      </c>
      <c r="E4" s="50" t="s">
        <v>24</v>
      </c>
      <c r="F4" s="48" t="s">
        <v>26</v>
      </c>
      <c r="G4" s="48" t="s">
        <v>46</v>
      </c>
      <c r="H4" s="50" t="s">
        <v>28</v>
      </c>
      <c r="I4" s="51" t="s">
        <v>27</v>
      </c>
    </row>
    <row r="5" spans="1:10">
      <c r="A5" s="86" t="s">
        <v>0</v>
      </c>
      <c r="B5" s="30">
        <v>5103388</v>
      </c>
      <c r="C5" s="21">
        <f t="shared" ref="C5:C30" si="0">B5/($B$35-$B$34)</f>
        <v>0.16511122985475846</v>
      </c>
      <c r="D5" s="32">
        <f t="shared" ref="D5:D30" si="1">ROUND(C5*$B$47,0)</f>
        <v>-34673</v>
      </c>
      <c r="E5" s="24">
        <f>D5/B5</f>
        <v>-6.7941140277791925E-3</v>
      </c>
      <c r="F5" s="31">
        <f>ROUND(SUM(B5:D5),0)</f>
        <v>5068715</v>
      </c>
      <c r="G5" s="21">
        <v>-2E-3</v>
      </c>
      <c r="H5" s="34">
        <f>ROUND(F5*G5,0)</f>
        <v>-10137</v>
      </c>
      <c r="I5" s="33">
        <f>ROUND(SUM(H5,F5),0)</f>
        <v>5058578</v>
      </c>
    </row>
    <row r="6" spans="1:10">
      <c r="A6" s="86" t="s">
        <v>1</v>
      </c>
      <c r="B6" s="14">
        <v>3096916</v>
      </c>
      <c r="C6" s="21">
        <f t="shared" si="0"/>
        <v>0.10019532309063688</v>
      </c>
      <c r="D6" s="15">
        <f t="shared" si="1"/>
        <v>-21041</v>
      </c>
      <c r="E6" s="24">
        <f t="shared" ref="E6:E35" si="2">D6/B6</f>
        <v>-6.794178466577718E-3</v>
      </c>
      <c r="F6" s="14">
        <f>ROUND(SUM(B6:D6),0)</f>
        <v>3075875</v>
      </c>
      <c r="G6" s="21">
        <v>-2E-3</v>
      </c>
      <c r="H6" s="36">
        <f t="shared" ref="H6:H34" si="3">ROUND(F6*G6,0)</f>
        <v>-6152</v>
      </c>
      <c r="I6" s="16">
        <f>ROUND(SUM(H6,F6),0)</f>
        <v>3069723</v>
      </c>
    </row>
    <row r="7" spans="1:10">
      <c r="A7" s="86" t="s">
        <v>2</v>
      </c>
      <c r="B7" s="14">
        <v>413236</v>
      </c>
      <c r="C7" s="21">
        <f t="shared" si="0"/>
        <v>1.3369531021404009E-2</v>
      </c>
      <c r="D7" s="15">
        <f t="shared" si="1"/>
        <v>-2808</v>
      </c>
      <c r="E7" s="24">
        <f t="shared" si="2"/>
        <v>-6.7951485349775917E-3</v>
      </c>
      <c r="F7" s="14">
        <f t="shared" ref="F7:F34" si="4">ROUND(SUM(B7:D7),0)</f>
        <v>410428</v>
      </c>
      <c r="G7" s="21">
        <v>-2E-3</v>
      </c>
      <c r="H7" s="36">
        <f t="shared" si="3"/>
        <v>-821</v>
      </c>
      <c r="I7" s="16">
        <f t="shared" ref="I7:I34" si="5">ROUND(SUM(H7,F7),0)</f>
        <v>409607</v>
      </c>
    </row>
    <row r="8" spans="1:10">
      <c r="A8" s="86" t="s">
        <v>45</v>
      </c>
      <c r="B8" s="14">
        <v>1808100</v>
      </c>
      <c r="C8" s="21">
        <f t="shared" si="0"/>
        <v>5.8497926220853438E-2</v>
      </c>
      <c r="D8" s="15">
        <f t="shared" si="1"/>
        <v>-12285</v>
      </c>
      <c r="E8" s="24">
        <f t="shared" si="2"/>
        <v>-6.7944250871080141E-3</v>
      </c>
      <c r="F8" s="14">
        <f t="shared" si="4"/>
        <v>1795815</v>
      </c>
      <c r="G8" s="21">
        <v>-2E-3</v>
      </c>
      <c r="H8" s="36">
        <f t="shared" si="3"/>
        <v>-3592</v>
      </c>
      <c r="I8" s="16">
        <f t="shared" si="5"/>
        <v>1792223</v>
      </c>
      <c r="J8" s="1"/>
    </row>
    <row r="9" spans="1:10">
      <c r="A9" s="86" t="s">
        <v>3</v>
      </c>
      <c r="B9" s="14">
        <v>1636371</v>
      </c>
      <c r="C9" s="21">
        <f t="shared" si="0"/>
        <v>5.2941933536831014E-2</v>
      </c>
      <c r="D9" s="15">
        <f t="shared" si="1"/>
        <v>-11118</v>
      </c>
      <c r="E9" s="24">
        <f t="shared" si="2"/>
        <v>-6.7943027589709177E-3</v>
      </c>
      <c r="F9" s="14">
        <f t="shared" si="4"/>
        <v>1625253</v>
      </c>
      <c r="G9" s="21">
        <v>-2E-3</v>
      </c>
      <c r="H9" s="36">
        <f t="shared" si="3"/>
        <v>-3251</v>
      </c>
      <c r="I9" s="16">
        <f t="shared" si="5"/>
        <v>1622002</v>
      </c>
    </row>
    <row r="10" spans="1:10" ht="17.25">
      <c r="A10" s="106" t="s">
        <v>55</v>
      </c>
      <c r="B10" s="14">
        <v>4818275</v>
      </c>
      <c r="C10" s="21">
        <f t="shared" si="0"/>
        <v>0.15588689533863315</v>
      </c>
      <c r="D10" s="15">
        <f t="shared" si="1"/>
        <v>-32736</v>
      </c>
      <c r="E10" s="24">
        <f t="shared" si="2"/>
        <v>-6.7941327549797389E-3</v>
      </c>
      <c r="F10" s="14">
        <f t="shared" si="4"/>
        <v>4785539</v>
      </c>
      <c r="G10" s="21">
        <v>-2E-3</v>
      </c>
      <c r="H10" s="36">
        <f t="shared" si="3"/>
        <v>-9571</v>
      </c>
      <c r="I10" s="16">
        <f>ROUND(SUM(H10,F10),0)</f>
        <v>4775968</v>
      </c>
    </row>
    <row r="11" spans="1:10" s="88" customFormat="1" ht="12.75">
      <c r="A11" s="87" t="s">
        <v>51</v>
      </c>
      <c r="B11" s="89">
        <v>300000</v>
      </c>
      <c r="C11" s="110">
        <f t="shared" si="0"/>
        <v>9.7059774715203967E-3</v>
      </c>
      <c r="D11" s="100">
        <f t="shared" si="1"/>
        <v>-2038</v>
      </c>
      <c r="E11" s="111">
        <f t="shared" si="2"/>
        <v>-6.7933333333333335E-3</v>
      </c>
      <c r="F11" s="89">
        <f t="shared" si="4"/>
        <v>297962</v>
      </c>
      <c r="G11" s="110">
        <v>-2E-3</v>
      </c>
      <c r="H11" s="101">
        <f>ROUND(F11*G11,0)</f>
        <v>-596</v>
      </c>
      <c r="I11" s="90">
        <f>ROUND(SUM(H11,F11),0)</f>
        <v>297366</v>
      </c>
    </row>
    <row r="12" spans="1:10">
      <c r="A12" s="86" t="s">
        <v>4</v>
      </c>
      <c r="B12" s="14">
        <v>2051798</v>
      </c>
      <c r="C12" s="21">
        <f t="shared" si="0"/>
        <v>6.6382350547035354E-2</v>
      </c>
      <c r="D12" s="15">
        <f t="shared" si="1"/>
        <v>-13940</v>
      </c>
      <c r="E12" s="24">
        <f t="shared" si="2"/>
        <v>-6.7940411288050775E-3</v>
      </c>
      <c r="F12" s="14">
        <f t="shared" si="4"/>
        <v>2037858</v>
      </c>
      <c r="G12" s="21">
        <v>-2E-3</v>
      </c>
      <c r="H12" s="36">
        <f t="shared" si="3"/>
        <v>-4076</v>
      </c>
      <c r="I12" s="16">
        <f t="shared" si="5"/>
        <v>2033782</v>
      </c>
    </row>
    <row r="13" spans="1:10">
      <c r="A13" s="86" t="s">
        <v>5</v>
      </c>
      <c r="B13" s="14">
        <v>1329528</v>
      </c>
      <c r="C13" s="21">
        <f t="shared" si="0"/>
        <v>4.3014562719185238E-2</v>
      </c>
      <c r="D13" s="15">
        <f t="shared" si="1"/>
        <v>-9033</v>
      </c>
      <c r="E13" s="24">
        <f t="shared" si="2"/>
        <v>-6.7941404769211325E-3</v>
      </c>
      <c r="F13" s="14">
        <f t="shared" si="4"/>
        <v>1320495</v>
      </c>
      <c r="G13" s="21">
        <v>-2E-3</v>
      </c>
      <c r="H13" s="36">
        <f t="shared" si="3"/>
        <v>-2641</v>
      </c>
      <c r="I13" s="16">
        <f t="shared" si="5"/>
        <v>1317854</v>
      </c>
    </row>
    <row r="14" spans="1:10">
      <c r="A14" s="86" t="s">
        <v>6</v>
      </c>
      <c r="B14" s="14">
        <v>707036</v>
      </c>
      <c r="C14" s="21">
        <f t="shared" si="0"/>
        <v>2.2874918291846319E-2</v>
      </c>
      <c r="D14" s="15">
        <f t="shared" si="1"/>
        <v>-4804</v>
      </c>
      <c r="E14" s="24">
        <f t="shared" si="2"/>
        <v>-6.7945620873618882E-3</v>
      </c>
      <c r="F14" s="14">
        <f t="shared" si="4"/>
        <v>702232</v>
      </c>
      <c r="G14" s="21">
        <v>-2E-3</v>
      </c>
      <c r="H14" s="36">
        <f t="shared" si="3"/>
        <v>-1404</v>
      </c>
      <c r="I14" s="16">
        <f t="shared" si="5"/>
        <v>700828</v>
      </c>
    </row>
    <row r="15" spans="1:10">
      <c r="A15" s="86" t="s">
        <v>7</v>
      </c>
      <c r="B15" s="14">
        <v>689781</v>
      </c>
      <c r="C15" s="21">
        <f t="shared" si="0"/>
        <v>2.2316662820942704E-2</v>
      </c>
      <c r="D15" s="15">
        <f t="shared" si="1"/>
        <v>-4686</v>
      </c>
      <c r="E15" s="24">
        <f t="shared" si="2"/>
        <v>-6.7934605331257314E-3</v>
      </c>
      <c r="F15" s="14">
        <f t="shared" si="4"/>
        <v>685095</v>
      </c>
      <c r="G15" s="21">
        <v>-2E-3</v>
      </c>
      <c r="H15" s="36">
        <f t="shared" si="3"/>
        <v>-1370</v>
      </c>
      <c r="I15" s="16">
        <f t="shared" si="5"/>
        <v>683725</v>
      </c>
    </row>
    <row r="16" spans="1:10">
      <c r="A16" s="86" t="s">
        <v>8</v>
      </c>
      <c r="B16" s="14">
        <v>1110229</v>
      </c>
      <c r="C16" s="21">
        <f t="shared" si="0"/>
        <v>3.5919525540762061E-2</v>
      </c>
      <c r="D16" s="15">
        <f t="shared" si="1"/>
        <v>-7543</v>
      </c>
      <c r="E16" s="24">
        <f t="shared" si="2"/>
        <v>-6.794093831092504E-3</v>
      </c>
      <c r="F16" s="14">
        <f t="shared" si="4"/>
        <v>1102686</v>
      </c>
      <c r="G16" s="21">
        <v>-2E-3</v>
      </c>
      <c r="H16" s="36">
        <f t="shared" si="3"/>
        <v>-2205</v>
      </c>
      <c r="I16" s="16">
        <f t="shared" si="5"/>
        <v>1100481</v>
      </c>
    </row>
    <row r="17" spans="1:11">
      <c r="A17" s="86" t="s">
        <v>9</v>
      </c>
      <c r="B17" s="14">
        <v>539082</v>
      </c>
      <c r="C17" s="21">
        <f t="shared" si="0"/>
        <v>1.7441059157673862E-2</v>
      </c>
      <c r="D17" s="15">
        <f t="shared" si="1"/>
        <v>-3663</v>
      </c>
      <c r="E17" s="24">
        <f t="shared" si="2"/>
        <v>-6.7948846372166017E-3</v>
      </c>
      <c r="F17" s="14">
        <f t="shared" si="4"/>
        <v>535419</v>
      </c>
      <c r="G17" s="21">
        <v>-2E-3</v>
      </c>
      <c r="H17" s="36">
        <f t="shared" si="3"/>
        <v>-1071</v>
      </c>
      <c r="I17" s="16">
        <f t="shared" si="5"/>
        <v>534348</v>
      </c>
    </row>
    <row r="18" spans="1:11">
      <c r="A18" s="86" t="s">
        <v>10</v>
      </c>
      <c r="B18" s="14">
        <v>418833</v>
      </c>
      <c r="C18" s="21">
        <f t="shared" si="0"/>
        <v>1.3550612207764342E-2</v>
      </c>
      <c r="D18" s="15">
        <f t="shared" si="1"/>
        <v>-2846</v>
      </c>
      <c r="E18" s="24">
        <f t="shared" si="2"/>
        <v>-6.7950710665109961E-3</v>
      </c>
      <c r="F18" s="14">
        <f t="shared" si="4"/>
        <v>415987</v>
      </c>
      <c r="G18" s="21">
        <v>-2E-3</v>
      </c>
      <c r="H18" s="36">
        <f t="shared" si="3"/>
        <v>-832</v>
      </c>
      <c r="I18" s="16">
        <f t="shared" si="5"/>
        <v>415155</v>
      </c>
    </row>
    <row r="19" spans="1:11" ht="17.25">
      <c r="A19" s="13" t="s">
        <v>59</v>
      </c>
      <c r="B19" s="14">
        <v>1489372</v>
      </c>
      <c r="C19" s="21">
        <f t="shared" si="0"/>
        <v>4.818603692904426E-2</v>
      </c>
      <c r="D19" s="15">
        <f t="shared" si="1"/>
        <v>-10119</v>
      </c>
      <c r="E19" s="24">
        <f t="shared" si="2"/>
        <v>-6.7941387376692997E-3</v>
      </c>
      <c r="F19" s="14">
        <f>ROUND(SUM(B19:D19),0)+1000</f>
        <v>1480253</v>
      </c>
      <c r="G19" s="21">
        <v>-2E-3</v>
      </c>
      <c r="H19" s="36">
        <f>ROUND(F19*G19,0)-2</f>
        <v>-2963</v>
      </c>
      <c r="I19" s="16">
        <f t="shared" si="5"/>
        <v>1477290</v>
      </c>
      <c r="K19" s="103"/>
    </row>
    <row r="20" spans="1:11">
      <c r="A20" s="86" t="s">
        <v>11</v>
      </c>
      <c r="B20" s="14">
        <v>1059848</v>
      </c>
      <c r="C20" s="21">
        <f t="shared" si="0"/>
        <v>3.4289536037453168E-2</v>
      </c>
      <c r="D20" s="15">
        <f t="shared" si="1"/>
        <v>-7201</v>
      </c>
      <c r="E20" s="24">
        <f t="shared" si="2"/>
        <v>-6.7943705135075977E-3</v>
      </c>
      <c r="F20" s="14">
        <f t="shared" si="4"/>
        <v>1052647</v>
      </c>
      <c r="G20" s="21">
        <v>-2E-3</v>
      </c>
      <c r="H20" s="36">
        <f t="shared" si="3"/>
        <v>-2105</v>
      </c>
      <c r="I20" s="16">
        <f t="shared" si="5"/>
        <v>1050542</v>
      </c>
    </row>
    <row r="21" spans="1:11">
      <c r="A21" s="86" t="s">
        <v>12</v>
      </c>
      <c r="B21" s="14">
        <v>462346</v>
      </c>
      <c r="C21" s="21">
        <f t="shared" si="0"/>
        <v>1.4958399533491899E-2</v>
      </c>
      <c r="D21" s="15">
        <f t="shared" si="1"/>
        <v>-3141</v>
      </c>
      <c r="E21" s="24">
        <f t="shared" si="2"/>
        <v>-6.7936134410160358E-3</v>
      </c>
      <c r="F21" s="14">
        <f t="shared" si="4"/>
        <v>459205</v>
      </c>
      <c r="G21" s="21">
        <v>-2E-3</v>
      </c>
      <c r="H21" s="36">
        <f t="shared" si="3"/>
        <v>-918</v>
      </c>
      <c r="I21" s="16">
        <f t="shared" si="5"/>
        <v>458287</v>
      </c>
    </row>
    <row r="22" spans="1:11">
      <c r="A22" s="86" t="s">
        <v>13</v>
      </c>
      <c r="B22" s="14">
        <v>145660</v>
      </c>
      <c r="C22" s="21">
        <f t="shared" si="0"/>
        <v>4.7125755950055371E-3</v>
      </c>
      <c r="D22" s="15">
        <f t="shared" si="1"/>
        <v>-990</v>
      </c>
      <c r="E22" s="24">
        <f t="shared" si="2"/>
        <v>-6.7966497322531922E-3</v>
      </c>
      <c r="F22" s="14">
        <f t="shared" si="4"/>
        <v>144670</v>
      </c>
      <c r="G22" s="21">
        <v>-2E-3</v>
      </c>
      <c r="H22" s="36">
        <f t="shared" si="3"/>
        <v>-289</v>
      </c>
      <c r="I22" s="16">
        <f t="shared" si="5"/>
        <v>144381</v>
      </c>
    </row>
    <row r="23" spans="1:11">
      <c r="A23" s="86" t="s">
        <v>14</v>
      </c>
      <c r="B23" s="14">
        <v>516028</v>
      </c>
      <c r="C23" s="21">
        <f t="shared" si="0"/>
        <v>1.6695187142245757E-2</v>
      </c>
      <c r="D23" s="15">
        <f t="shared" si="1"/>
        <v>-3506</v>
      </c>
      <c r="E23" s="24">
        <f t="shared" si="2"/>
        <v>-6.7942049656220206E-3</v>
      </c>
      <c r="F23" s="14">
        <f t="shared" si="4"/>
        <v>512522</v>
      </c>
      <c r="G23" s="21">
        <v>-2E-3</v>
      </c>
      <c r="H23" s="36">
        <f t="shared" si="3"/>
        <v>-1025</v>
      </c>
      <c r="I23" s="16">
        <f t="shared" si="5"/>
        <v>511497</v>
      </c>
    </row>
    <row r="24" spans="1:11">
      <c r="A24" s="86" t="s">
        <v>15</v>
      </c>
      <c r="B24" s="14">
        <v>316582</v>
      </c>
      <c r="C24" s="21">
        <f t="shared" si="0"/>
        <v>1.0242459199629569E-2</v>
      </c>
      <c r="D24" s="15">
        <f t="shared" si="1"/>
        <v>-2151</v>
      </c>
      <c r="E24" s="24">
        <f t="shared" si="2"/>
        <v>-6.7944481998344821E-3</v>
      </c>
      <c r="F24" s="14">
        <f t="shared" si="4"/>
        <v>314431</v>
      </c>
      <c r="G24" s="21">
        <v>-2E-3</v>
      </c>
      <c r="H24" s="36">
        <f t="shared" si="3"/>
        <v>-629</v>
      </c>
      <c r="I24" s="16">
        <f t="shared" si="5"/>
        <v>313802</v>
      </c>
    </row>
    <row r="25" spans="1:11">
      <c r="A25" s="86" t="s">
        <v>16</v>
      </c>
      <c r="B25" s="14">
        <v>211572</v>
      </c>
      <c r="C25" s="21">
        <f t="shared" si="0"/>
        <v>6.8450435520150451E-3</v>
      </c>
      <c r="D25" s="15">
        <f t="shared" si="1"/>
        <v>-1437</v>
      </c>
      <c r="E25" s="24">
        <f t="shared" si="2"/>
        <v>-6.7920140661335152E-3</v>
      </c>
      <c r="F25" s="14">
        <f t="shared" si="4"/>
        <v>210135</v>
      </c>
      <c r="G25" s="21">
        <v>-2E-3</v>
      </c>
      <c r="H25" s="36">
        <f t="shared" si="3"/>
        <v>-420</v>
      </c>
      <c r="I25" s="16">
        <f t="shared" si="5"/>
        <v>209715</v>
      </c>
    </row>
    <row r="26" spans="1:11">
      <c r="A26" s="86" t="s">
        <v>17</v>
      </c>
      <c r="B26" s="14">
        <v>1268896</v>
      </c>
      <c r="C26" s="21">
        <f t="shared" si="0"/>
        <v>4.1052919965674485E-2</v>
      </c>
      <c r="D26" s="15">
        <f t="shared" si="1"/>
        <v>-8621</v>
      </c>
      <c r="E26" s="24">
        <f t="shared" si="2"/>
        <v>-6.7940950243361156E-3</v>
      </c>
      <c r="F26" s="14">
        <f t="shared" si="4"/>
        <v>1260275</v>
      </c>
      <c r="G26" s="21">
        <v>-2E-3</v>
      </c>
      <c r="H26" s="36">
        <f t="shared" si="3"/>
        <v>-2521</v>
      </c>
      <c r="I26" s="16">
        <f t="shared" si="5"/>
        <v>1257754</v>
      </c>
      <c r="K26" s="102"/>
    </row>
    <row r="27" spans="1:11">
      <c r="A27" s="86" t="s">
        <v>18</v>
      </c>
      <c r="B27" s="14">
        <v>128844</v>
      </c>
      <c r="C27" s="21">
        <f t="shared" si="0"/>
        <v>4.1685232044685805E-3</v>
      </c>
      <c r="D27" s="15">
        <f t="shared" si="1"/>
        <v>-875</v>
      </c>
      <c r="E27" s="24">
        <f t="shared" si="2"/>
        <v>-6.7911582999596407E-3</v>
      </c>
      <c r="F27" s="14">
        <f t="shared" si="4"/>
        <v>127969</v>
      </c>
      <c r="G27" s="21">
        <v>-2E-3</v>
      </c>
      <c r="H27" s="36">
        <f t="shared" si="3"/>
        <v>-256</v>
      </c>
      <c r="I27" s="16">
        <f>ROUND(SUM(H27,F27),0)</f>
        <v>127713</v>
      </c>
      <c r="K27" s="102"/>
    </row>
    <row r="28" spans="1:11">
      <c r="A28" s="86" t="s">
        <v>19</v>
      </c>
      <c r="B28" s="14">
        <v>70051</v>
      </c>
      <c r="C28" s="21">
        <f t="shared" si="0"/>
        <v>2.2663780928582514E-3</v>
      </c>
      <c r="D28" s="15">
        <f t="shared" si="1"/>
        <v>-476</v>
      </c>
      <c r="E28" s="24">
        <f t="shared" si="2"/>
        <v>-6.7950493212088339E-3</v>
      </c>
      <c r="F28" s="14">
        <f t="shared" si="4"/>
        <v>69575</v>
      </c>
      <c r="G28" s="21">
        <v>-2E-3</v>
      </c>
      <c r="H28" s="36">
        <f t="shared" si="3"/>
        <v>-139</v>
      </c>
      <c r="I28" s="16">
        <f>ROUND(SUM(H28,F28),0)</f>
        <v>69436</v>
      </c>
      <c r="K28" s="102"/>
    </row>
    <row r="29" spans="1:11">
      <c r="A29" s="86" t="s">
        <v>20</v>
      </c>
      <c r="B29" s="14">
        <v>339716</v>
      </c>
      <c r="C29" s="21">
        <f t="shared" si="0"/>
        <v>1.0990919475716744E-2</v>
      </c>
      <c r="D29" s="15">
        <f t="shared" si="1"/>
        <v>-2308</v>
      </c>
      <c r="E29" s="24">
        <f t="shared" si="2"/>
        <v>-6.7939102073496689E-3</v>
      </c>
      <c r="F29" s="14">
        <f t="shared" si="4"/>
        <v>337408</v>
      </c>
      <c r="G29" s="21">
        <v>-2E-3</v>
      </c>
      <c r="H29" s="36">
        <f t="shared" si="3"/>
        <v>-675</v>
      </c>
      <c r="I29" s="16">
        <f t="shared" si="5"/>
        <v>336733</v>
      </c>
      <c r="K29" s="102"/>
    </row>
    <row r="30" spans="1:11">
      <c r="A30" s="86" t="s">
        <v>21</v>
      </c>
      <c r="B30" s="14">
        <v>1177300</v>
      </c>
      <c r="C30" s="21">
        <f t="shared" si="0"/>
        <v>3.808949092406988E-2</v>
      </c>
      <c r="D30" s="15">
        <f t="shared" si="1"/>
        <v>-7999</v>
      </c>
      <c r="E30" s="24">
        <f t="shared" si="2"/>
        <v>-6.794359976216767E-3</v>
      </c>
      <c r="F30" s="14">
        <f t="shared" si="4"/>
        <v>1169301</v>
      </c>
      <c r="G30" s="21">
        <v>-2E-3</v>
      </c>
      <c r="H30" s="36">
        <f t="shared" si="3"/>
        <v>-2339</v>
      </c>
      <c r="I30" s="16">
        <f t="shared" si="5"/>
        <v>1166962</v>
      </c>
      <c r="K30" s="102"/>
    </row>
    <row r="31" spans="1:11" s="88" customFormat="1" ht="12.75">
      <c r="A31" s="87" t="s">
        <v>53</v>
      </c>
      <c r="B31" s="89">
        <f>B30-B32-B33</f>
        <v>632997.19999999995</v>
      </c>
      <c r="C31" s="107" t="s">
        <v>31</v>
      </c>
      <c r="D31" s="92">
        <f>B31/SUM($B$31,$B$33)*$D$30</f>
        <v>-7996.5517557893272</v>
      </c>
      <c r="E31" s="98">
        <f>D31/B31</f>
        <v>-1.2632839064358149E-2</v>
      </c>
      <c r="F31" s="89">
        <f>ROUND(SUM(B31:D31),0)</f>
        <v>625001</v>
      </c>
      <c r="G31" s="96">
        <f>H31/F31</f>
        <v>-3.7412506877887112E-3</v>
      </c>
      <c r="H31" s="95">
        <f>F31/SUM($F$31,$F$33)*$H$30</f>
        <v>-2338.2854211186323</v>
      </c>
      <c r="I31" s="90">
        <f>ROUND(SUM(H31,F31),0)</f>
        <v>622663</v>
      </c>
      <c r="K31" s="109"/>
    </row>
    <row r="32" spans="1:11" s="88" customFormat="1">
      <c r="A32" s="104" t="s">
        <v>56</v>
      </c>
      <c r="B32" s="89">
        <v>544109</v>
      </c>
      <c r="C32" s="107" t="s">
        <v>31</v>
      </c>
      <c r="D32" s="108" t="s">
        <v>31</v>
      </c>
      <c r="E32" s="107" t="s">
        <v>31</v>
      </c>
      <c r="F32" s="89">
        <f t="shared" si="4"/>
        <v>544109</v>
      </c>
      <c r="G32" s="107" t="s">
        <v>31</v>
      </c>
      <c r="H32" s="108" t="s">
        <v>31</v>
      </c>
      <c r="I32" s="90">
        <f t="shared" si="5"/>
        <v>544109</v>
      </c>
      <c r="K32" s="109"/>
    </row>
    <row r="33" spans="1:10" s="88" customFormat="1" ht="12.75">
      <c r="A33" s="87" t="s">
        <v>52</v>
      </c>
      <c r="B33" s="91">
        <v>193.8</v>
      </c>
      <c r="C33" s="107" t="s">
        <v>31</v>
      </c>
      <c r="D33" s="99">
        <f>B33/SUM($B$31,$B$33)*$D$30</f>
        <v>-2.4482442106726094</v>
      </c>
      <c r="E33" s="98">
        <f>D33/B33</f>
        <v>-1.2632839064358149E-2</v>
      </c>
      <c r="F33" s="91">
        <f>ROUND(SUM(B33:D33),0)</f>
        <v>191</v>
      </c>
      <c r="G33" s="97">
        <f>H33/F33</f>
        <v>-3.7412506877887112E-3</v>
      </c>
      <c r="H33" s="94">
        <f>F33/SUM($F$31,$F$33)*$H$30</f>
        <v>-0.7145788813676438</v>
      </c>
      <c r="I33" s="93">
        <f t="shared" si="5"/>
        <v>190</v>
      </c>
    </row>
    <row r="34" spans="1:10" ht="17.25">
      <c r="A34" s="105" t="s">
        <v>54</v>
      </c>
      <c r="B34" s="14">
        <v>100000</v>
      </c>
      <c r="C34" s="47" t="s">
        <v>31</v>
      </c>
      <c r="D34" s="15">
        <f>B48</f>
        <v>-50000</v>
      </c>
      <c r="E34" s="24">
        <f t="shared" si="2"/>
        <v>-0.5</v>
      </c>
      <c r="F34" s="14">
        <f t="shared" si="4"/>
        <v>50000</v>
      </c>
      <c r="G34" s="21">
        <v>-2E-3</v>
      </c>
      <c r="H34" s="36">
        <f t="shared" si="3"/>
        <v>-100</v>
      </c>
      <c r="I34" s="16">
        <f t="shared" si="5"/>
        <v>49900</v>
      </c>
    </row>
    <row r="35" spans="1:10" ht="30">
      <c r="A35" s="72" t="s">
        <v>40</v>
      </c>
      <c r="B35" s="67">
        <f>SUM(B5:B10,B12:B30,B34)</f>
        <v>31008788</v>
      </c>
      <c r="C35" s="46">
        <f>SUM(C5:C10,C12:C30)</f>
        <v>0.99999999999999989</v>
      </c>
      <c r="D35" s="68">
        <f>SUM(D5:D10,D12:D30,D34)</f>
        <v>-260000</v>
      </c>
      <c r="E35" s="43">
        <f t="shared" si="2"/>
        <v>-8.3847198413559403E-3</v>
      </c>
      <c r="F35" s="67">
        <f>SUM(F5:F10,F12:F30,F34)</f>
        <v>30749788</v>
      </c>
      <c r="G35" s="77">
        <v>-2E-3</v>
      </c>
      <c r="H35" s="70">
        <f>SUM(H5:H10,H12:H30,H34)</f>
        <v>-61502</v>
      </c>
      <c r="I35" s="71">
        <f>SUM(I5:I10,I12:I30,I34)</f>
        <v>30688286</v>
      </c>
      <c r="J35" s="45"/>
    </row>
    <row r="36" spans="1:10">
      <c r="A36" s="13"/>
      <c r="B36" s="17"/>
      <c r="C36" s="22"/>
      <c r="D36" s="15"/>
      <c r="E36" s="24"/>
      <c r="F36" s="17"/>
      <c r="G36" s="21"/>
      <c r="H36" s="36"/>
      <c r="I36" s="18"/>
    </row>
    <row r="37" spans="1:10">
      <c r="A37" s="13" t="s">
        <v>30</v>
      </c>
      <c r="B37" s="19">
        <v>79212</v>
      </c>
      <c r="C37" s="22"/>
      <c r="D37" s="20">
        <v>0</v>
      </c>
      <c r="E37" s="25">
        <f>D37/B37</f>
        <v>0</v>
      </c>
      <c r="F37" s="14">
        <f>ROUND(SUM(B37:D37),0)</f>
        <v>79212</v>
      </c>
      <c r="G37" s="21">
        <v>-2E-3</v>
      </c>
      <c r="H37" s="36">
        <f>F37*G37</f>
        <v>-158.42400000000001</v>
      </c>
      <c r="I37" s="16">
        <f>ROUND(SUM(H37,F37),0)</f>
        <v>79054</v>
      </c>
    </row>
    <row r="38" spans="1:10" ht="30">
      <c r="A38" s="72" t="s">
        <v>35</v>
      </c>
      <c r="B38" s="67">
        <f>B35+B37</f>
        <v>31088000</v>
      </c>
      <c r="C38" s="73"/>
      <c r="D38" s="68">
        <f>D35+D37</f>
        <v>-260000</v>
      </c>
      <c r="E38" s="44"/>
      <c r="F38" s="67">
        <f>F35+F37</f>
        <v>30829000</v>
      </c>
      <c r="G38" s="78"/>
      <c r="H38" s="70">
        <f>H35+H37</f>
        <v>-61660.423999999999</v>
      </c>
      <c r="I38" s="71">
        <f>I35+I37</f>
        <v>30767340</v>
      </c>
    </row>
    <row r="39" spans="1:10">
      <c r="A39" s="13"/>
      <c r="B39" s="19"/>
      <c r="C39" s="22"/>
      <c r="D39" s="20"/>
      <c r="E39" s="69"/>
      <c r="F39" s="14"/>
      <c r="G39" s="21"/>
      <c r="H39" s="36"/>
      <c r="I39" s="16"/>
    </row>
    <row r="40" spans="1:10" ht="17.25">
      <c r="A40" s="13" t="s">
        <v>50</v>
      </c>
      <c r="B40" s="19">
        <v>150000</v>
      </c>
      <c r="C40" s="22"/>
      <c r="D40" s="20">
        <v>0</v>
      </c>
      <c r="E40" s="69">
        <f>D40/B40</f>
        <v>0</v>
      </c>
      <c r="F40" s="14">
        <f>ROUND(SUM(B40:D40),0)</f>
        <v>150000</v>
      </c>
      <c r="G40" s="69">
        <v>0</v>
      </c>
      <c r="H40" s="34">
        <v>0</v>
      </c>
      <c r="I40" s="16">
        <f>ROUND(SUM(H40,F40),0)</f>
        <v>150000</v>
      </c>
    </row>
    <row r="41" spans="1:10">
      <c r="A41" s="74" t="s">
        <v>36</v>
      </c>
      <c r="B41" s="67">
        <f>B38+B40</f>
        <v>31238000</v>
      </c>
      <c r="C41" s="73"/>
      <c r="D41" s="68">
        <f>D38+D40</f>
        <v>-260000</v>
      </c>
      <c r="E41" s="75"/>
      <c r="F41" s="67">
        <f>F38+F40</f>
        <v>30979000</v>
      </c>
      <c r="G41" s="75"/>
      <c r="H41" s="70">
        <f>H38+H40</f>
        <v>-61660.423999999999</v>
      </c>
      <c r="I41" s="71">
        <f>I38+I40</f>
        <v>30917340</v>
      </c>
    </row>
    <row r="42" spans="1:10">
      <c r="A42" s="13"/>
      <c r="B42" s="19"/>
      <c r="C42" s="22"/>
      <c r="D42" s="20"/>
      <c r="E42" s="69"/>
      <c r="F42" s="14"/>
      <c r="G42" s="69"/>
      <c r="H42" s="34"/>
      <c r="I42" s="16"/>
    </row>
    <row r="43" spans="1:10">
      <c r="A43" s="13" t="s">
        <v>23</v>
      </c>
      <c r="B43" s="19">
        <v>8200</v>
      </c>
      <c r="C43" s="22"/>
      <c r="D43" s="20">
        <v>0</v>
      </c>
      <c r="E43" s="25">
        <f>D43/B43</f>
        <v>0</v>
      </c>
      <c r="F43" s="14">
        <f>ROUND(SUM(B43:D43),0)</f>
        <v>8200</v>
      </c>
      <c r="G43" s="69">
        <v>0</v>
      </c>
      <c r="H43" s="34">
        <v>0</v>
      </c>
      <c r="I43" s="16">
        <f>ROUND(SUM(H43,F43),0)</f>
        <v>8200</v>
      </c>
    </row>
    <row r="44" spans="1:10">
      <c r="A44" s="13"/>
      <c r="B44" s="17"/>
      <c r="C44" s="22"/>
      <c r="D44" s="15"/>
      <c r="E44" s="24"/>
      <c r="F44" s="14"/>
      <c r="G44" s="21"/>
      <c r="H44" s="34"/>
      <c r="I44" s="16"/>
    </row>
    <row r="45" spans="1:10" s="37" customFormat="1" ht="15.75" thickBot="1">
      <c r="A45" s="76" t="s">
        <v>37</v>
      </c>
      <c r="B45" s="38">
        <f>B41+B43</f>
        <v>31246200</v>
      </c>
      <c r="C45" s="52"/>
      <c r="D45" s="39">
        <f>D41+D43</f>
        <v>-260000</v>
      </c>
      <c r="E45" s="40">
        <f>D45/B45</f>
        <v>-8.32101183503914E-3</v>
      </c>
      <c r="F45" s="38">
        <f>F41+F43</f>
        <v>30987200</v>
      </c>
      <c r="G45" s="79"/>
      <c r="H45" s="41">
        <f>H41+H43</f>
        <v>-61660.423999999999</v>
      </c>
      <c r="I45" s="42">
        <f>I41+I43</f>
        <v>30925540</v>
      </c>
    </row>
    <row r="46" spans="1:10" ht="15.75" thickTop="1">
      <c r="A46" s="5"/>
      <c r="B46" s="6"/>
      <c r="C46" s="23"/>
      <c r="D46" s="8"/>
      <c r="E46" s="7"/>
      <c r="F46" s="6"/>
      <c r="G46" s="80"/>
      <c r="H46" s="35"/>
      <c r="I46" s="9"/>
    </row>
    <row r="47" spans="1:10" ht="17.25">
      <c r="A47" s="54" t="s">
        <v>42</v>
      </c>
      <c r="B47" s="55">
        <v>-210000</v>
      </c>
      <c r="C47" s="56"/>
      <c r="D47" s="57"/>
      <c r="E47" s="57"/>
      <c r="F47" s="58"/>
      <c r="G47" s="81"/>
      <c r="H47" s="58"/>
      <c r="I47" s="59"/>
    </row>
    <row r="48" spans="1:10" ht="17.25">
      <c r="A48" s="60" t="s">
        <v>41</v>
      </c>
      <c r="B48" s="61">
        <v>-50000</v>
      </c>
      <c r="C48" s="62"/>
      <c r="D48" s="63"/>
      <c r="E48" s="63"/>
      <c r="F48" s="64"/>
      <c r="G48" s="82"/>
      <c r="H48" s="64"/>
      <c r="I48" s="65"/>
    </row>
    <row r="49" spans="1:9" ht="17.25">
      <c r="A49" s="29" t="s">
        <v>33</v>
      </c>
      <c r="B49" s="26"/>
      <c r="C49" s="27"/>
      <c r="D49" s="4"/>
      <c r="E49" s="4"/>
      <c r="F49" s="2"/>
      <c r="G49" s="80"/>
      <c r="H49" s="6"/>
      <c r="I49" s="28"/>
    </row>
    <row r="50" spans="1:9" ht="17.25">
      <c r="A50" s="29" t="s">
        <v>47</v>
      </c>
      <c r="B50" s="26"/>
      <c r="C50" s="27"/>
      <c r="D50" s="4"/>
      <c r="E50" s="4"/>
      <c r="F50" s="2"/>
      <c r="G50" s="80"/>
      <c r="H50" s="6"/>
      <c r="I50" s="28"/>
    </row>
    <row r="51" spans="1:9">
      <c r="A51" s="29" t="s">
        <v>44</v>
      </c>
      <c r="B51" s="26"/>
      <c r="C51" s="27"/>
      <c r="D51" s="4"/>
      <c r="E51" s="4"/>
      <c r="F51" s="2"/>
      <c r="G51" s="80"/>
      <c r="H51" s="6"/>
      <c r="I51" s="28"/>
    </row>
    <row r="52" spans="1:9" ht="17.25">
      <c r="A52" s="29" t="s">
        <v>48</v>
      </c>
      <c r="B52" s="26"/>
      <c r="C52" s="27"/>
      <c r="D52" s="4"/>
      <c r="E52" s="4"/>
      <c r="F52" s="2"/>
      <c r="G52" s="80"/>
      <c r="H52" s="6"/>
      <c r="I52" s="28"/>
    </row>
    <row r="53" spans="1:9" ht="17.25">
      <c r="A53" s="29" t="s">
        <v>49</v>
      </c>
      <c r="B53" s="26"/>
      <c r="C53" s="27"/>
      <c r="D53" s="4"/>
      <c r="E53" s="4"/>
      <c r="F53" s="2"/>
      <c r="G53" s="80"/>
      <c r="H53" s="6"/>
      <c r="I53" s="28"/>
    </row>
    <row r="54" spans="1:9" ht="17.25">
      <c r="A54" s="29" t="s">
        <v>43</v>
      </c>
      <c r="B54" s="26"/>
      <c r="C54" s="27"/>
      <c r="D54" s="4"/>
      <c r="E54" s="4"/>
      <c r="F54" s="2"/>
      <c r="G54" s="80"/>
      <c r="H54" s="6"/>
      <c r="I54" s="28"/>
    </row>
    <row r="55" spans="1:9" ht="17.25">
      <c r="A55" s="29" t="s">
        <v>57</v>
      </c>
      <c r="B55" s="26"/>
      <c r="C55" s="27"/>
      <c r="D55" s="4"/>
      <c r="E55" s="4"/>
      <c r="F55" s="2"/>
      <c r="G55" s="80"/>
      <c r="H55" s="6"/>
      <c r="I55" s="28"/>
    </row>
    <row r="56" spans="1:9">
      <c r="A56" s="29" t="s">
        <v>58</v>
      </c>
      <c r="B56" s="26"/>
      <c r="C56" s="27"/>
      <c r="D56" s="4"/>
      <c r="E56" s="4"/>
      <c r="F56" s="2"/>
      <c r="G56" s="80"/>
      <c r="H56" s="6"/>
      <c r="I56" s="28"/>
    </row>
    <row r="57" spans="1:9" ht="18" thickBot="1">
      <c r="A57" s="53" t="s">
        <v>60</v>
      </c>
      <c r="B57" s="10"/>
      <c r="C57" s="11"/>
      <c r="D57" s="10"/>
      <c r="E57" s="10"/>
      <c r="F57" s="10"/>
      <c r="G57" s="83"/>
      <c r="H57" s="10"/>
      <c r="I57" s="12"/>
    </row>
    <row r="58" spans="1:9">
      <c r="B58" s="1"/>
      <c r="D58" s="1"/>
      <c r="E58" s="1"/>
      <c r="F58" s="1"/>
      <c r="G58" s="84"/>
      <c r="H58" s="1"/>
      <c r="I58" s="1"/>
    </row>
    <row r="59" spans="1:9">
      <c r="B59" s="1"/>
      <c r="D59" s="1"/>
      <c r="E59" s="1"/>
      <c r="F59" s="1"/>
      <c r="G59" s="84"/>
      <c r="H59" s="1"/>
      <c r="I59" s="1"/>
    </row>
  </sheetData>
  <mergeCells count="3">
    <mergeCell ref="A1:I1"/>
    <mergeCell ref="A2:I2"/>
    <mergeCell ref="A3:I3"/>
  </mergeCells>
  <pageMargins left="0.45" right="0.45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FY 2012 Actual $</vt:lpstr>
      <vt:lpstr>Updated_Allocations_FY2012_CR</vt:lpstr>
      <vt:lpstr>CF Version</vt:lpstr>
      <vt:lpstr>'CF Version'!Print_Area</vt:lpstr>
      <vt:lpstr>'FY 2012 Actual $'!Print_Area</vt:lpstr>
      <vt:lpstr>Updated_Allocations_FY2012_CR!Print_Area</vt:lpstr>
    </vt:vector>
  </TitlesOfParts>
  <Company>NIH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OB-OD</dc:creator>
  <cp:lastModifiedBy>NIH|OD</cp:lastModifiedBy>
  <cp:lastPrinted>2011-12-23T14:57:08Z</cp:lastPrinted>
  <dcterms:created xsi:type="dcterms:W3CDTF">2011-04-12T15:38:34Z</dcterms:created>
  <dcterms:modified xsi:type="dcterms:W3CDTF">2011-12-23T21:07:00Z</dcterms:modified>
</cp:coreProperties>
</file>